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ab7866907f01f2a/Escritorio/"/>
    </mc:Choice>
  </mc:AlternateContent>
  <xr:revisionPtr revIDLastSave="39" documentId="8_{5902C2B3-99CE-47EE-9209-69280D89CAC3}" xr6:coauthVersionLast="47" xr6:coauthVersionMax="47" xr10:uidLastSave="{2760D01F-6F03-4271-A1EE-A5C2E6FB1BA5}"/>
  <bookViews>
    <workbookView xWindow="-120" yWindow="-120" windowWidth="20730" windowHeight="11040" activeTab="3" xr2:uid="{D258506A-2A6C-4FB7-8835-5D337DD6DBD9}"/>
  </bookViews>
  <sheets>
    <sheet name="Portafolio" sheetId="1" r:id="rId1"/>
    <sheet name="Placement" sheetId="2" r:id="rId2"/>
    <sheet name="Precio" sheetId="3" r:id="rId3"/>
    <sheet name="Promoció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E21" i="4"/>
  <c r="E14" i="4"/>
  <c r="E16" i="4" s="1"/>
  <c r="B14" i="4"/>
  <c r="B16" i="4" s="1"/>
  <c r="E13" i="4"/>
  <c r="B13" i="4"/>
  <c r="B15" i="4" s="1"/>
  <c r="Q10" i="4"/>
  <c r="P10" i="4"/>
  <c r="O10" i="4"/>
  <c r="N10" i="4"/>
  <c r="M10" i="4"/>
  <c r="L10" i="4"/>
  <c r="K10" i="4"/>
  <c r="J10" i="4"/>
  <c r="B26" i="4" s="1"/>
  <c r="I10" i="4"/>
  <c r="H10" i="4"/>
  <c r="E26" i="4" s="1"/>
  <c r="G10" i="4"/>
  <c r="F10" i="4"/>
  <c r="E10" i="4"/>
  <c r="D10" i="4"/>
  <c r="C10" i="4"/>
  <c r="B10" i="4"/>
  <c r="B25" i="4" s="1"/>
  <c r="Q9" i="4"/>
  <c r="P9" i="4"/>
  <c r="O9" i="4"/>
  <c r="N9" i="4"/>
  <c r="M9" i="4"/>
  <c r="L9" i="4"/>
  <c r="K9" i="4"/>
  <c r="J9" i="4"/>
  <c r="B20" i="4" s="1"/>
  <c r="I9" i="4"/>
  <c r="H9" i="4"/>
  <c r="E20" i="4" s="1"/>
  <c r="G9" i="4"/>
  <c r="F9" i="4"/>
  <c r="E9" i="4"/>
  <c r="D9" i="4"/>
  <c r="C9" i="4"/>
  <c r="B9" i="4"/>
  <c r="E19" i="4" s="1"/>
  <c r="B28" i="4" l="1"/>
  <c r="B27" i="4"/>
  <c r="E22" i="4"/>
  <c r="B19" i="4"/>
  <c r="B21" i="4" s="1"/>
  <c r="E15" i="4"/>
  <c r="E25" i="4"/>
  <c r="E28" i="4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H5" i="3"/>
  <c r="H6" i="3"/>
  <c r="J6" i="3"/>
  <c r="H7" i="3"/>
  <c r="J7" i="3"/>
  <c r="H8" i="3"/>
  <c r="J8" i="3" a="1"/>
  <c r="J8" i="3" s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E26" i="3"/>
  <c r="H26" i="3"/>
  <c r="H27" i="3" s="1"/>
  <c r="B22" i="4" l="1"/>
  <c r="D33" i="2" l="1"/>
  <c r="C33" i="2"/>
  <c r="L32" i="2"/>
  <c r="I32" i="2"/>
  <c r="G32" i="2"/>
  <c r="M31" i="2"/>
  <c r="L31" i="2"/>
  <c r="O31" i="2" s="1"/>
  <c r="I31" i="2"/>
  <c r="G31" i="2"/>
  <c r="L30" i="2"/>
  <c r="I30" i="2"/>
  <c r="G30" i="2"/>
  <c r="H30" i="2" s="1"/>
  <c r="J30" i="2" s="1"/>
  <c r="L29" i="2"/>
  <c r="I29" i="2"/>
  <c r="G29" i="2"/>
  <c r="L28" i="2"/>
  <c r="I28" i="2"/>
  <c r="G28" i="2"/>
  <c r="M27" i="2"/>
  <c r="L27" i="2"/>
  <c r="O27" i="2" s="1"/>
  <c r="I27" i="2"/>
  <c r="G27" i="2"/>
  <c r="L26" i="2"/>
  <c r="I26" i="2"/>
  <c r="G26" i="2"/>
  <c r="L25" i="2"/>
  <c r="I25" i="2"/>
  <c r="G25" i="2"/>
  <c r="H25" i="2" s="1"/>
  <c r="J25" i="2" s="1"/>
  <c r="L24" i="2"/>
  <c r="I24" i="2"/>
  <c r="G24" i="2"/>
  <c r="M23" i="2"/>
  <c r="L23" i="2"/>
  <c r="O23" i="2" s="1"/>
  <c r="I23" i="2"/>
  <c r="G23" i="2"/>
  <c r="L22" i="2"/>
  <c r="I22" i="2"/>
  <c r="G22" i="2"/>
  <c r="L21" i="2"/>
  <c r="I21" i="2"/>
  <c r="G21" i="2"/>
  <c r="L20" i="2"/>
  <c r="I20" i="2"/>
  <c r="G20" i="2"/>
  <c r="M19" i="2"/>
  <c r="L19" i="2"/>
  <c r="O19" i="2" s="1"/>
  <c r="I19" i="2"/>
  <c r="G19" i="2"/>
  <c r="L18" i="2"/>
  <c r="I18" i="2"/>
  <c r="G18" i="2"/>
  <c r="L17" i="2"/>
  <c r="I17" i="2"/>
  <c r="G17" i="2"/>
  <c r="L16" i="2"/>
  <c r="I16" i="2"/>
  <c r="G16" i="2"/>
  <c r="M15" i="2"/>
  <c r="L15" i="2"/>
  <c r="O15" i="2" s="1"/>
  <c r="I15" i="2"/>
  <c r="G15" i="2"/>
  <c r="L14" i="2"/>
  <c r="I14" i="2"/>
  <c r="G14" i="2"/>
  <c r="H14" i="2" s="1"/>
  <c r="J14" i="2" s="1"/>
  <c r="L13" i="2"/>
  <c r="I13" i="2"/>
  <c r="G13" i="2"/>
  <c r="L12" i="2"/>
  <c r="I12" i="2"/>
  <c r="G12" i="2"/>
  <c r="G33" i="2" s="1"/>
  <c r="E9" i="2"/>
  <c r="F9" i="2" s="1"/>
  <c r="E8" i="2"/>
  <c r="F8" i="2" s="1"/>
  <c r="M7" i="2"/>
  <c r="M32" i="2" s="1"/>
  <c r="O32" i="2" s="1"/>
  <c r="F7" i="2"/>
  <c r="E7" i="2"/>
  <c r="E6" i="2"/>
  <c r="F6" i="2" s="1"/>
  <c r="F5" i="2"/>
  <c r="E5" i="2"/>
  <c r="H13" i="2" l="1"/>
  <c r="J13" i="2" s="1"/>
  <c r="H18" i="2"/>
  <c r="J18" i="2" s="1"/>
  <c r="H29" i="2"/>
  <c r="J29" i="2" s="1"/>
  <c r="H32" i="2"/>
  <c r="J32" i="2" s="1"/>
  <c r="H28" i="2"/>
  <c r="J28" i="2" s="1"/>
  <c r="H24" i="2"/>
  <c r="J24" i="2" s="1"/>
  <c r="H20" i="2"/>
  <c r="J20" i="2" s="1"/>
  <c r="H16" i="2"/>
  <c r="J16" i="2" s="1"/>
  <c r="H12" i="2"/>
  <c r="J12" i="2" s="1"/>
  <c r="H31" i="2"/>
  <c r="J31" i="2" s="1"/>
  <c r="H27" i="2"/>
  <c r="J27" i="2" s="1"/>
  <c r="H23" i="2"/>
  <c r="J23" i="2" s="1"/>
  <c r="H19" i="2"/>
  <c r="J19" i="2" s="1"/>
  <c r="H15" i="2"/>
  <c r="J15" i="2" s="1"/>
  <c r="H17" i="2"/>
  <c r="J17" i="2" s="1"/>
  <c r="H22" i="2"/>
  <c r="J22" i="2" s="1"/>
  <c r="H21" i="2"/>
  <c r="J21" i="2" s="1"/>
  <c r="H26" i="2"/>
  <c r="J26" i="2" s="1"/>
  <c r="M14" i="2"/>
  <c r="O14" i="2" s="1"/>
  <c r="M18" i="2"/>
  <c r="O18" i="2" s="1"/>
  <c r="M22" i="2"/>
  <c r="O22" i="2" s="1"/>
  <c r="M26" i="2"/>
  <c r="O26" i="2" s="1"/>
  <c r="M30" i="2"/>
  <c r="O30" i="2" s="1"/>
  <c r="M13" i="2"/>
  <c r="O13" i="2" s="1"/>
  <c r="M17" i="2"/>
  <c r="O17" i="2" s="1"/>
  <c r="M21" i="2"/>
  <c r="O21" i="2" s="1"/>
  <c r="M25" i="2"/>
  <c r="O25" i="2" s="1"/>
  <c r="M29" i="2"/>
  <c r="O29" i="2" s="1"/>
  <c r="M12" i="2"/>
  <c r="O12" i="2" s="1"/>
  <c r="M16" i="2"/>
  <c r="O16" i="2" s="1"/>
  <c r="M20" i="2"/>
  <c r="O20" i="2" s="1"/>
  <c r="M24" i="2"/>
  <c r="O24" i="2" s="1"/>
  <c r="M28" i="2"/>
  <c r="O28" i="2" s="1"/>
  <c r="I17" i="1"/>
  <c r="I16" i="1"/>
  <c r="I13" i="1"/>
  <c r="I9" i="1"/>
  <c r="I8" i="1"/>
  <c r="I7" i="1"/>
  <c r="I10" i="1" s="1"/>
  <c r="D39" i="1"/>
  <c r="C39" i="1"/>
  <c r="D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6" i="1" s="1"/>
  <c r="F5" i="1"/>
  <c r="I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<sst xmlns="http://schemas.openxmlformats.org/spreadsheetml/2006/main" count="311" uniqueCount="110">
  <si>
    <t>Módulo 2 - Portafolio - Ejercicios</t>
  </si>
  <si>
    <t>CATEGORIA</t>
  </si>
  <si>
    <t>FABRICANTE</t>
  </si>
  <si>
    <t>DESCRIPCION SKU</t>
  </si>
  <si>
    <t>VENTAS MENSUALES UNITARIAS</t>
  </si>
  <si>
    <t>PRECIO POR UNIDAD</t>
  </si>
  <si>
    <t>Columna1</t>
  </si>
  <si>
    <t>JABON PARA GATOS</t>
  </si>
  <si>
    <t>MIAOU</t>
  </si>
  <si>
    <t>SHAMPOO FRESA</t>
  </si>
  <si>
    <t>SHAMPOO MENTA</t>
  </si>
  <si>
    <t>SHAMPOO SALMON</t>
  </si>
  <si>
    <t>SHAMPOO ATUN</t>
  </si>
  <si>
    <t>SHAMPOO POLLO</t>
  </si>
  <si>
    <t>JABON FRESA</t>
  </si>
  <si>
    <t>JABON MENTA</t>
  </si>
  <si>
    <t>JABON SALMON</t>
  </si>
  <si>
    <t>JABON ATUN</t>
  </si>
  <si>
    <t>JABON POLLO</t>
  </si>
  <si>
    <t>GARRAS</t>
  </si>
  <si>
    <t>SHAMPOO RATON</t>
  </si>
  <si>
    <t>SHAMPOO COLIBRI</t>
  </si>
  <si>
    <t>JABON RATON</t>
  </si>
  <si>
    <t>JABON COLIBRI</t>
  </si>
  <si>
    <t>BIGOTES</t>
  </si>
  <si>
    <t>JABON BARRA PATO</t>
  </si>
  <si>
    <t>JABON LIQUIDO PATO</t>
  </si>
  <si>
    <t>SHAMPOO PATO</t>
  </si>
  <si>
    <t>GOMITA</t>
  </si>
  <si>
    <t>TOTAL</t>
  </si>
  <si>
    <t>SKU</t>
  </si>
  <si>
    <t>TIENDA</t>
  </si>
  <si>
    <t>PRESENCIA</t>
  </si>
  <si>
    <t>PARTICIPACION DE VENTAS</t>
  </si>
  <si>
    <t>MIAOU SHAMPOO FRESA</t>
  </si>
  <si>
    <t>ARCOS</t>
  </si>
  <si>
    <t>ESTADIO</t>
  </si>
  <si>
    <t>PERIFERICO</t>
  </si>
  <si>
    <t>CASTILLO</t>
  </si>
  <si>
    <t>LAGO</t>
  </si>
  <si>
    <t>RIO</t>
  </si>
  <si>
    <t>FORUM</t>
  </si>
  <si>
    <t>CENTRO</t>
  </si>
  <si>
    <t>BOCA RATON</t>
  </si>
  <si>
    <t>SKUS MIAOU</t>
  </si>
  <si>
    <t>SKUS TOTAL</t>
  </si>
  <si>
    <t>%AJE PART SKU /SoA</t>
  </si>
  <si>
    <t>%AJE PART VTAS Unitaria</t>
  </si>
  <si>
    <t>%AJE PART VTAS $</t>
  </si>
  <si>
    <t>INDEX SoA /SoM Unit</t>
  </si>
  <si>
    <t>INDEX SoA /SoM $</t>
  </si>
  <si>
    <t>DN</t>
  </si>
  <si>
    <t>DP</t>
  </si>
  <si>
    <t>VELOCITY $</t>
  </si>
  <si>
    <t>VELOCITY Unit</t>
  </si>
  <si>
    <t>Módulo 3 - Placement - Ejercicios</t>
  </si>
  <si>
    <t>TRAMOS PROMEDIO</t>
  </si>
  <si>
    <t>NIVELES DE VENTA PROMEDIO</t>
  </si>
  <si>
    <t>ANCHO CHAROLA CM</t>
  </si>
  <si>
    <t>MLD</t>
  </si>
  <si>
    <t>FRENTES</t>
  </si>
  <si>
    <t>FRENTES PROMEDIO</t>
  </si>
  <si>
    <t>ANCHO EN CM</t>
  </si>
  <si>
    <t>PROFUNDIDAD EN UNIDADES</t>
  </si>
  <si>
    <t>CM X SKU</t>
  </si>
  <si>
    <t>SoS</t>
  </si>
  <si>
    <t>SoM uts</t>
  </si>
  <si>
    <t>Index</t>
  </si>
  <si>
    <t>Inventario Uts</t>
  </si>
  <si>
    <t>Vts x dia</t>
  </si>
  <si>
    <t>DI / DOH</t>
  </si>
  <si>
    <t>Módulo 4 - Precio - Ejercicios</t>
  </si>
  <si>
    <t>LITRAJE (ML)</t>
  </si>
  <si>
    <t>PPL</t>
  </si>
  <si>
    <t>MODA</t>
  </si>
  <si>
    <t>MEDIANA</t>
  </si>
  <si>
    <t>Promedio Aritmético</t>
  </si>
  <si>
    <t>Promedio Ponderado</t>
  </si>
  <si>
    <t>Módulo 4 - Promoción - Ejercicios</t>
  </si>
  <si>
    <t>Semana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</si>
  <si>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</si>
  <si>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</si>
  <si>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</si>
  <si>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</si>
  <si>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</si>
  <si>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</si>
  <si>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</si>
  <si>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</si>
  <si>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</si>
  <si>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</si>
  <si>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</si>
  <si>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</si>
  <si>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</si>
  <si>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</si>
  <si>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</si>
  <si>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</si>
  <si>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Unidades</t>
  </si>
  <si>
    <t xml:space="preserve">Precio de venta Shopper </t>
  </si>
  <si>
    <t>Precio de facturación a cadena</t>
  </si>
  <si>
    <t>Sell OUT</t>
  </si>
  <si>
    <t>Sell IN</t>
  </si>
  <si>
    <t>UNITS</t>
  </si>
  <si>
    <t>Venta Promedia SIN PROMO</t>
  </si>
  <si>
    <t>Venta Promedia CON PROMO</t>
  </si>
  <si>
    <t>Lift absoluto</t>
  </si>
  <si>
    <t>Lift %</t>
  </si>
  <si>
    <t>SELL OUT</t>
  </si>
  <si>
    <t>SELL IN</t>
  </si>
  <si>
    <t>ACTIVACION</t>
  </si>
  <si>
    <t>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</si>
</sst>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164" fontId="0" fillId="0" borderId="0" xfId="1" applyNumberFormat="1" applyFont="1"/>
    <xf numFmtId="9" fontId="0" fillId="0" borderId="0" xfId="0" applyNumberFormat="1"/>
    <xf numFmtId="9" fontId="0" fillId="0" borderId="0" xfId="2" applyFont="1"/>
    <xf numFmtId="0" fontId="0" fillId="0" borderId="1" xfId="0" applyBorder="1"/>
    <xf numFmtId="0" fontId="2" fillId="2" borderId="1" xfId="0" applyFont="1" applyFill="1" applyBorder="1"/>
    <xf numFmtId="0" fontId="3" fillId="0" borderId="2" xfId="0" applyFont="1" applyBorder="1"/>
    <xf numFmtId="0" fontId="0" fillId="0" borderId="2" xfId="0" applyBorder="1"/>
    <xf numFmtId="165" fontId="0" fillId="0" borderId="2" xfId="2" applyNumberFormat="1" applyFont="1" applyBorder="1"/>
    <xf numFmtId="165" fontId="3" fillId="0" borderId="2" xfId="2" applyNumberFormat="1" applyFont="1" applyBorder="1"/>
    <xf numFmtId="1" fontId="0" fillId="0" borderId="2" xfId="2" applyNumberFormat="1" applyFont="1" applyBorder="1"/>
    <xf numFmtId="1" fontId="0" fillId="0" borderId="2" xfId="0" applyNumberFormat="1" applyBorder="1"/>
    <xf numFmtId="165" fontId="3" fillId="0" borderId="3" xfId="2" applyNumberFormat="1" applyFont="1" applyBorder="1" applyAlignment="1">
      <alignment horizontal="center"/>
    </xf>
    <xf numFmtId="165" fontId="3" fillId="0" borderId="4" xfId="2" applyNumberFormat="1" applyFont="1" applyBorder="1" applyAlignment="1">
      <alignment horizontal="center"/>
    </xf>
    <xf numFmtId="1" fontId="3" fillId="0" borderId="2" xfId="0" applyNumberFormat="1" applyFont="1" applyBorder="1"/>
    <xf numFmtId="9" fontId="0" fillId="0" borderId="2" xfId="0" applyNumberFormat="1" applyBorder="1"/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4" fontId="0" fillId="0" borderId="2" xfId="0" applyNumberFormat="1" applyBorder="1"/>
    <xf numFmtId="166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/>
    <xf numFmtId="0" fontId="0" fillId="3" borderId="1" xfId="0" applyFill="1" applyBorder="1"/>
    <xf numFmtId="165" fontId="0" fillId="0" borderId="0" xfId="2" applyNumberFormat="1" applyFont="1"/>
    <xf numFmtId="1" fontId="0" fillId="0" borderId="0" xfId="0" applyNumberFormat="1"/>
    <xf numFmtId="164" fontId="0" fillId="0" borderId="0" xfId="0" applyNumberFormat="1"/>
    <xf numFmtId="164" fontId="3" fillId="0" borderId="2" xfId="1" applyNumberFormat="1" applyFont="1" applyBorder="1"/>
    <xf numFmtId="44" fontId="3" fillId="0" borderId="2" xfId="1" applyFont="1" applyBorder="1"/>
    <xf numFmtId="44" fontId="0" fillId="0" borderId="0" xfId="0" applyNumberForma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0" borderId="0" xfId="2" applyNumberFormat="1" applyFont="1" applyFill="1"/>
    <xf numFmtId="165" fontId="0" fillId="6" borderId="0" xfId="2" applyNumberFormat="1" applyFont="1" applyFill="1"/>
    <xf numFmtId="165" fontId="0" fillId="7" borderId="0" xfId="2" applyNumberFormat="1" applyFont="1" applyFill="1"/>
    <xf numFmtId="165" fontId="0" fillId="8" borderId="0" xfId="2" applyNumberFormat="1" applyFont="1" applyFill="1"/>
    <xf numFmtId="0" fontId="3" fillId="0" borderId="0" xfId="0" applyFont="1" applyAlignment="1">
      <alignment horizontal="center"/>
    </xf>
    <xf numFmtId="2" fontId="0" fillId="0" borderId="2" xfId="0" applyNumberFormat="1" applyBorder="1"/>
  </cellXfs>
  <cellStyles count="3">
    <cellStyle name="Moneda" xfId="1" builtinId="4"/>
    <cellStyle name="Normal" xfId="0" builtinId="0"/>
    <cellStyle name="Porcentaje" xfId="2" builtinId="5"/>
  </cellStyles>
  <dxfs count="17">
    <dxf>
      <numFmt numFmtId="164" formatCode="_-&quot;$&quot;* #,##0_-;\-&quot;$&quot;* #,##0_-;_-&quot;$&quot;* &quot;-&quot;??_-;_-@_-"/>
    </dxf>
    <dxf>
      <numFmt numFmtId="34" formatCode="_-&quot;$&quot;* #,##0.00_-;\-&quot;$&quot;* #,##0.00_-;_-&quot;$&quot;* &quot;-&quot;??_-;_-@_-"/>
    </dxf>
    <dxf>
      <numFmt numFmtId="164" formatCode="_-&quot;$&quot;* #,##0_-;\-&quot;$&quot;* #,##0_-;_-&quot;$&quot;* &quot;-&quot;??_-;_-@_-"/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_-&quot;$&quot;* #,##0_-;\-&quot;$&quot;* #,##0_-;_-&quot;$&quot;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64" formatCode="_-&quot;$&quot;* #,##0_-;\-&quot;$&quot;* #,##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CC51A1-D424-4DC7-8994-6A2E5EDC56D6}" name="Table1" displayName="Table1" ref="A4:F26" totalsRowShown="0">
  <autoFilter ref="A4:F26" xr:uid="{BBCC51A1-D424-4DC7-8994-6A2E5EDC56D6}"/>
  <tableColumns count="6">
    <tableColumn id="1" xr3:uid="{E59F026B-48C1-4236-B544-34E2A19A7D3F}" name="CATEGORIA"/>
    <tableColumn id="2" xr3:uid="{0803C41A-7650-471B-B21B-13C5B1E5F671}" name="FABRICANTE"/>
    <tableColumn id="3" xr3:uid="{23BA04F0-4E09-487D-A450-923FFD28AA97}" name="DESCRIPCION SKU"/>
    <tableColumn id="4" xr3:uid="{42A1F294-E29E-4692-8A80-35B3F79DA2A2}" name="VENTAS MENSUALES UNITARIAS"/>
    <tableColumn id="5" xr3:uid="{9802F33E-4CF6-4E05-BD78-DA4AB7741423}" name="PRECIO POR UNIDAD"/>
    <tableColumn id="6" xr3:uid="{D8919D9D-3E06-4D16-8141-520A6A7B5028}" name="Columna1" dataDxfId="16" dataCellStyle="Moneda">
      <calculatedColumnFormula>Table1[[#This Row],[PRECIO POR UNIDAD]]*Table1[[#This Row],[VENTAS MENSUALES UNITARIAS]]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6AF2C6-045E-42B6-A1BC-320659C420DA}" name="Table2" displayName="Table2" ref="A29:D39" totalsRowShown="0">
  <autoFilter ref="A29:D39" xr:uid="{D86AF2C6-045E-42B6-A1BC-320659C420DA}"/>
  <tableColumns count="4">
    <tableColumn id="1" xr3:uid="{54626BC4-B64A-45A4-B26F-ADE56C08C9DB}" name="SKU"/>
    <tableColumn id="2" xr3:uid="{7A7F0F67-C04F-4DB2-994A-EC9CE345CDD0}" name="TIENDA"/>
    <tableColumn id="3" xr3:uid="{FB9D902F-5053-4097-9059-52DF227EBA42}" name="PRESENCIA"/>
    <tableColumn id="4" xr3:uid="{972AC02D-E3DF-4FB5-B6A2-61FF7C8817B1}" name="PARTICIPACION DE VENTAS" dataDxfId="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97F06-A0B0-4D9F-AF0E-BC111E665FF9}" name="Table3" displayName="Table3" ref="A4:F9" totalsRowShown="0" headerRowDxfId="14" dataDxfId="13">
  <autoFilter ref="A4:F9" xr:uid="{EF497F06-A0B0-4D9F-AF0E-BC111E665FF9}"/>
  <tableColumns count="6">
    <tableColumn id="1" xr3:uid="{1E921A7F-B7C1-40AF-9C97-E8201CF62413}" name="TIENDA" dataDxfId="12"/>
    <tableColumn id="2" xr3:uid="{E834A2CE-16E4-45AD-9C42-4A4307A3D965}" name="TRAMOS PROMEDIO" dataDxfId="11"/>
    <tableColumn id="3" xr3:uid="{EBBE52E2-F526-4E10-903A-F1561E632AE2}" name="NIVELES DE VENTA PROMEDIO" dataDxfId="10"/>
    <tableColumn id="4" xr3:uid="{952CE5FF-0629-4F83-9224-317CA7C023F4}" name="ANCHO CHAROLA CM" dataDxfId="9"/>
    <tableColumn id="5" xr3:uid="{6618972D-4952-49CF-B4B4-1C4DEC9554C1}" name="MLD" dataDxfId="8">
      <calculatedColumnFormula>Table3[[#This Row],[TRAMOS PROMEDIO]]*Table3[[#This Row],[NIVELES DE VENTA PROMEDIO]]*Table3[[#This Row],[ANCHO CHAROLA CM]]/100</calculatedColumnFormula>
    </tableColumn>
    <tableColumn id="6" xr3:uid="{BE4BCA61-739E-42E5-9EFF-681242CB7CEE}" name="FRENTES" dataDxfId="7">
      <calculatedColumnFormula>Table3[[#This Row],[MLD]]/0.2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3FD713-5F55-494A-A193-62E69090584A}" name="Table15" displayName="Table15" ref="A4:H27" totalsRowCount="1">
  <autoFilter ref="A4:H26" xr:uid="{873FD713-5F55-494A-A193-62E69090584A}"/>
  <sortState xmlns:xlrd2="http://schemas.microsoft.com/office/spreadsheetml/2017/richdata2" ref="A5:F26">
    <sortCondition ref="F4:F26"/>
  </sortState>
  <tableColumns count="8">
    <tableColumn id="1" xr3:uid="{10B3F2A9-5B52-47A3-84F7-D07832EB1329}" name="CATEGORIA"/>
    <tableColumn id="2" xr3:uid="{250BBC7D-4E92-45BB-838D-5C21870E32E2}" name="FABRICANTE"/>
    <tableColumn id="3" xr3:uid="{937F676F-9D63-495D-9396-C9441085109C}" name="DESCRIPCION SKU"/>
    <tableColumn id="6" xr3:uid="{46A665CE-8060-4665-99A6-E49C748E3F8A}" name="LITRAJE (ML)"/>
    <tableColumn id="4" xr3:uid="{C25A3503-A268-48C3-AD14-3CDA8CF9770A}" name="VENTAS MENSUALES UNITARIAS"/>
    <tableColumn id="5" xr3:uid="{87594A2B-43A2-43A6-8EAC-1F2F4D61A037}" name="PRECIO POR UNIDAD"/>
    <tableColumn id="7" xr3:uid="{182A8D37-9CEF-437D-A9C3-B786D5F26B64}" name="PPL" dataDxfId="0" totalsRowDxfId="2">
      <calculatedColumnFormula>Table15[[#This Row],[PRECIO POR UNIDAD]]/Table15[[#This Row],[LITRAJE (ML)]]*1000</calculatedColumnFormula>
    </tableColumn>
    <tableColumn id="8" xr3:uid="{F937B2DF-C76D-43BF-B42F-8930E7964C5F}" name="Columna1" totalsRowFunction="custom" dataDxfId="6" totalsRowDxfId="1">
      <calculatedColumnFormula>Table15[[#This Row],[PRECIO POR UNIDAD]]*Table15[[#This Row],[VENTAS MENSUALES UNITARIAS]]</calculatedColumnFormula>
      <totalsRowFormula>H26/E26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2E1C-ABC7-4CFF-A80D-9A703E4CD852}">
  <dimension ref="A1:I39"/>
  <sheetViews>
    <sheetView zoomScale="65" workbookViewId="0">
      <selection activeCell="I29" sqref="I29"/>
    </sheetView>
  </sheetViews>
  <sheetFormatPr baseColWidth="10" defaultRowHeight="15" x14ac:dyDescent="0.25"/>
  <cols>
    <col min="1" max="1" width="28.42578125" bestFit="1" customWidth="1"/>
    <col min="2" max="2" width="21.28515625" bestFit="1" customWidth="1"/>
    <col min="3" max="3" width="28.7109375" bestFit="1" customWidth="1"/>
    <col min="4" max="4" width="46.5703125" bestFit="1" customWidth="1"/>
    <col min="5" max="5" width="31.28515625" bestFit="1" customWidth="1"/>
    <col min="6" max="6" width="17" bestFit="1" customWidth="1"/>
    <col min="8" max="8" width="34.140625" bestFit="1" customWidth="1"/>
    <col min="9" max="9" width="10" bestFit="1" customWidth="1"/>
  </cols>
  <sheetData>
    <row r="1" spans="1:9" ht="15.75" x14ac:dyDescent="0.25">
      <c r="A1" s="1" t="s">
        <v>0</v>
      </c>
      <c r="B1" s="1"/>
      <c r="C1" s="1"/>
      <c r="D1" s="1"/>
      <c r="E1" s="1"/>
    </row>
    <row r="4" spans="1:9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</row>
    <row r="5" spans="1:9" x14ac:dyDescent="0.25">
      <c r="A5" t="s">
        <v>7</v>
      </c>
      <c r="B5" t="s">
        <v>8</v>
      </c>
      <c r="C5" t="s">
        <v>9</v>
      </c>
      <c r="D5">
        <v>1000</v>
      </c>
      <c r="E5">
        <v>55</v>
      </c>
      <c r="F5" s="2">
        <f>Table1[[#This Row],[PRECIO POR UNIDAD]]*Table1[[#This Row],[VENTAS MENSUALES UNITARIAS]]</f>
        <v>55000</v>
      </c>
      <c r="H5" s="7" t="s">
        <v>44</v>
      </c>
      <c r="I5" s="8">
        <v>10</v>
      </c>
    </row>
    <row r="6" spans="1:9" x14ac:dyDescent="0.25">
      <c r="A6" t="s">
        <v>7</v>
      </c>
      <c r="B6" t="s">
        <v>8</v>
      </c>
      <c r="C6" t="s">
        <v>10</v>
      </c>
      <c r="D6">
        <v>1200</v>
      </c>
      <c r="E6">
        <v>42</v>
      </c>
      <c r="F6" s="2">
        <f>Table1[[#This Row],[PRECIO POR UNIDAD]]*Table1[[#This Row],[VENTAS MENSUALES UNITARIAS]]</f>
        <v>50400</v>
      </c>
      <c r="H6" s="7" t="s">
        <v>45</v>
      </c>
      <c r="I6" s="8">
        <v>21</v>
      </c>
    </row>
    <row r="7" spans="1:9" x14ac:dyDescent="0.25">
      <c r="A7" t="s">
        <v>7</v>
      </c>
      <c r="B7" t="s">
        <v>8</v>
      </c>
      <c r="C7" t="s">
        <v>11</v>
      </c>
      <c r="D7">
        <v>2000</v>
      </c>
      <c r="E7">
        <v>48</v>
      </c>
      <c r="F7" s="2">
        <f>Table1[[#This Row],[PRECIO POR UNIDAD]]*Table1[[#This Row],[VENTAS MENSUALES UNITARIAS]]</f>
        <v>96000</v>
      </c>
      <c r="H7" s="7" t="s">
        <v>46</v>
      </c>
      <c r="I7" s="9">
        <f>I5/I6</f>
        <v>0.47619047619047616</v>
      </c>
    </row>
    <row r="8" spans="1:9" x14ac:dyDescent="0.25">
      <c r="A8" t="s">
        <v>7</v>
      </c>
      <c r="B8" t="s">
        <v>8</v>
      </c>
      <c r="C8" t="s">
        <v>12</v>
      </c>
      <c r="D8">
        <v>2500</v>
      </c>
      <c r="E8">
        <v>49</v>
      </c>
      <c r="F8" s="2">
        <f>Table1[[#This Row],[PRECIO POR UNIDAD]]*Table1[[#This Row],[VENTAS MENSUALES UNITARIAS]]</f>
        <v>122500</v>
      </c>
      <c r="H8" s="10" t="s">
        <v>47</v>
      </c>
      <c r="I8" s="9">
        <f>SUM(D5:D14)/D26</f>
        <v>0.78936605316973418</v>
      </c>
    </row>
    <row r="9" spans="1:9" x14ac:dyDescent="0.25">
      <c r="A9" t="s">
        <v>7</v>
      </c>
      <c r="B9" t="s">
        <v>8</v>
      </c>
      <c r="C9" t="s">
        <v>13</v>
      </c>
      <c r="D9">
        <v>10000</v>
      </c>
      <c r="E9">
        <v>50</v>
      </c>
      <c r="F9" s="2">
        <f>Table1[[#This Row],[PRECIO POR UNIDAD]]*Table1[[#This Row],[VENTAS MENSUALES UNITARIAS]]</f>
        <v>500000</v>
      </c>
      <c r="H9" s="10" t="s">
        <v>48</v>
      </c>
      <c r="I9" s="9">
        <f>SUM(F5:F14)/F26</f>
        <v>0.76182558816194201</v>
      </c>
    </row>
    <row r="10" spans="1:9" x14ac:dyDescent="0.25">
      <c r="A10" t="s">
        <v>7</v>
      </c>
      <c r="B10" t="s">
        <v>8</v>
      </c>
      <c r="C10" t="s">
        <v>14</v>
      </c>
      <c r="D10">
        <v>400</v>
      </c>
      <c r="E10">
        <v>35</v>
      </c>
      <c r="F10" s="2">
        <f>Table1[[#This Row],[PRECIO POR UNIDAD]]*Table1[[#This Row],[VENTAS MENSUALES UNITARIAS]]</f>
        <v>14000</v>
      </c>
      <c r="H10" s="10" t="s">
        <v>49</v>
      </c>
      <c r="I10" s="11">
        <f>I7/I8*100</f>
        <v>60.32568467801628</v>
      </c>
    </row>
    <row r="11" spans="1:9" x14ac:dyDescent="0.25">
      <c r="A11" t="s">
        <v>7</v>
      </c>
      <c r="B11" t="s">
        <v>8</v>
      </c>
      <c r="C11" t="s">
        <v>15</v>
      </c>
      <c r="D11">
        <v>450</v>
      </c>
      <c r="E11">
        <v>34</v>
      </c>
      <c r="F11" s="2">
        <f>Table1[[#This Row],[PRECIO POR UNIDAD]]*Table1[[#This Row],[VENTAS MENSUALES UNITARIAS]]</f>
        <v>15300</v>
      </c>
      <c r="H11" s="10" t="s">
        <v>50</v>
      </c>
      <c r="I11" s="12">
        <f>I7/I9*100</f>
        <v>62.506495396063265</v>
      </c>
    </row>
    <row r="12" spans="1:9" x14ac:dyDescent="0.25">
      <c r="A12" t="s">
        <v>7</v>
      </c>
      <c r="B12" t="s">
        <v>8</v>
      </c>
      <c r="C12" t="s">
        <v>16</v>
      </c>
      <c r="D12">
        <v>500</v>
      </c>
      <c r="E12">
        <v>38</v>
      </c>
      <c r="F12" s="2">
        <f>Table1[[#This Row],[PRECIO POR UNIDAD]]*Table1[[#This Row],[VENTAS MENSUALES UNITARIAS]]</f>
        <v>19000</v>
      </c>
      <c r="H12" s="13"/>
      <c r="I12" s="14"/>
    </row>
    <row r="13" spans="1:9" x14ac:dyDescent="0.25">
      <c r="A13" t="s">
        <v>7</v>
      </c>
      <c r="B13" t="s">
        <v>8</v>
      </c>
      <c r="C13" t="s">
        <v>17</v>
      </c>
      <c r="D13">
        <v>600</v>
      </c>
      <c r="E13">
        <v>39</v>
      </c>
      <c r="F13" s="2">
        <f>Table1[[#This Row],[PRECIO POR UNIDAD]]*Table1[[#This Row],[VENTAS MENSUALES UNITARIAS]]</f>
        <v>23400</v>
      </c>
      <c r="H13" s="10" t="s">
        <v>51</v>
      </c>
      <c r="I13" s="9">
        <f>5/9</f>
        <v>0.55555555555555558</v>
      </c>
    </row>
    <row r="14" spans="1:9" x14ac:dyDescent="0.25">
      <c r="A14" t="s">
        <v>7</v>
      </c>
      <c r="B14" t="s">
        <v>8</v>
      </c>
      <c r="C14" t="s">
        <v>18</v>
      </c>
      <c r="D14">
        <v>650</v>
      </c>
      <c r="E14">
        <v>32</v>
      </c>
      <c r="F14" s="2">
        <f>Table1[[#This Row],[PRECIO POR UNIDAD]]*Table1[[#This Row],[VENTAS MENSUALES UNITARIAS]]</f>
        <v>20800</v>
      </c>
      <c r="H14" s="15" t="s">
        <v>52</v>
      </c>
      <c r="I14" s="16">
        <v>0.54</v>
      </c>
    </row>
    <row r="15" spans="1:9" x14ac:dyDescent="0.25">
      <c r="A15" t="s">
        <v>7</v>
      </c>
      <c r="B15" t="s">
        <v>19</v>
      </c>
      <c r="C15" t="s">
        <v>20</v>
      </c>
      <c r="D15">
        <v>800</v>
      </c>
      <c r="E15">
        <v>70</v>
      </c>
      <c r="F15" s="2">
        <f>Table1[[#This Row],[PRECIO POR UNIDAD]]*Table1[[#This Row],[VENTAS MENSUALES UNITARIAS]]</f>
        <v>56000</v>
      </c>
      <c r="H15" s="17"/>
      <c r="I15" s="18"/>
    </row>
    <row r="16" spans="1:9" x14ac:dyDescent="0.25">
      <c r="A16" t="s">
        <v>7</v>
      </c>
      <c r="B16" t="s">
        <v>19</v>
      </c>
      <c r="C16" t="s">
        <v>13</v>
      </c>
      <c r="D16">
        <v>1000</v>
      </c>
      <c r="E16">
        <v>70</v>
      </c>
      <c r="F16" s="2">
        <f>Table1[[#This Row],[PRECIO POR UNIDAD]]*Table1[[#This Row],[VENTAS MENSUALES UNITARIAS]]</f>
        <v>70000</v>
      </c>
      <c r="H16" s="10" t="s">
        <v>53</v>
      </c>
      <c r="I16" s="19">
        <f>F5/54</f>
        <v>1018.5185185185185</v>
      </c>
    </row>
    <row r="17" spans="1:9" x14ac:dyDescent="0.25">
      <c r="A17" t="s">
        <v>7</v>
      </c>
      <c r="B17" t="s">
        <v>19</v>
      </c>
      <c r="C17" t="s">
        <v>21</v>
      </c>
      <c r="D17">
        <v>1500</v>
      </c>
      <c r="E17">
        <v>70</v>
      </c>
      <c r="F17" s="2">
        <f>Table1[[#This Row],[PRECIO POR UNIDAD]]*Table1[[#This Row],[VENTAS MENSUALES UNITARIAS]]</f>
        <v>105000</v>
      </c>
      <c r="H17" s="10" t="s">
        <v>54</v>
      </c>
      <c r="I17" s="40">
        <f>D5/54</f>
        <v>18.518518518518519</v>
      </c>
    </row>
    <row r="18" spans="1:9" x14ac:dyDescent="0.25">
      <c r="A18" t="s">
        <v>7</v>
      </c>
      <c r="B18" t="s">
        <v>19</v>
      </c>
      <c r="C18" t="s">
        <v>22</v>
      </c>
      <c r="D18">
        <v>200</v>
      </c>
      <c r="E18">
        <v>40</v>
      </c>
      <c r="F18" s="2">
        <f>Table1[[#This Row],[PRECIO POR UNIDAD]]*Table1[[#This Row],[VENTAS MENSUALES UNITARIAS]]</f>
        <v>8000</v>
      </c>
    </row>
    <row r="19" spans="1:9" x14ac:dyDescent="0.25">
      <c r="A19" t="s">
        <v>7</v>
      </c>
      <c r="B19" t="s">
        <v>19</v>
      </c>
      <c r="C19" t="s">
        <v>18</v>
      </c>
      <c r="D19">
        <v>100</v>
      </c>
      <c r="E19">
        <v>40</v>
      </c>
      <c r="F19" s="2">
        <f>Table1[[#This Row],[PRECIO POR UNIDAD]]*Table1[[#This Row],[VENTAS MENSUALES UNITARIAS]]</f>
        <v>4000</v>
      </c>
    </row>
    <row r="20" spans="1:9" x14ac:dyDescent="0.25">
      <c r="A20" t="s">
        <v>7</v>
      </c>
      <c r="B20" t="s">
        <v>19</v>
      </c>
      <c r="C20" t="s">
        <v>23</v>
      </c>
      <c r="D20">
        <v>500</v>
      </c>
      <c r="E20">
        <v>35</v>
      </c>
      <c r="F20" s="2">
        <f>Table1[[#This Row],[PRECIO POR UNIDAD]]*Table1[[#This Row],[VENTAS MENSUALES UNITARIAS]]</f>
        <v>17500</v>
      </c>
    </row>
    <row r="21" spans="1:9" x14ac:dyDescent="0.25">
      <c r="A21" t="s">
        <v>7</v>
      </c>
      <c r="B21" t="s">
        <v>24</v>
      </c>
      <c r="C21" t="s">
        <v>25</v>
      </c>
      <c r="D21">
        <v>100</v>
      </c>
      <c r="E21">
        <v>25</v>
      </c>
      <c r="F21" s="2">
        <f>Table1[[#This Row],[PRECIO POR UNIDAD]]*Table1[[#This Row],[VENTAS MENSUALES UNITARIAS]]</f>
        <v>2500</v>
      </c>
    </row>
    <row r="22" spans="1:9" x14ac:dyDescent="0.25">
      <c r="A22" t="s">
        <v>7</v>
      </c>
      <c r="B22" t="s">
        <v>24</v>
      </c>
      <c r="C22" t="s">
        <v>26</v>
      </c>
      <c r="D22">
        <v>200</v>
      </c>
      <c r="E22">
        <v>25</v>
      </c>
      <c r="F22" s="2">
        <f>Table1[[#This Row],[PRECIO POR UNIDAD]]*Table1[[#This Row],[VENTAS MENSUALES UNITARIAS]]</f>
        <v>5000</v>
      </c>
    </row>
    <row r="23" spans="1:9" x14ac:dyDescent="0.25">
      <c r="A23" t="s">
        <v>7</v>
      </c>
      <c r="B23" t="s">
        <v>24</v>
      </c>
      <c r="C23" t="s">
        <v>27</v>
      </c>
      <c r="D23">
        <v>500</v>
      </c>
      <c r="E23">
        <v>32</v>
      </c>
      <c r="F23" s="2">
        <f>Table1[[#This Row],[PRECIO POR UNIDAD]]*Table1[[#This Row],[VENTAS MENSUALES UNITARIAS]]</f>
        <v>16000</v>
      </c>
    </row>
    <row r="24" spans="1:9" x14ac:dyDescent="0.25">
      <c r="A24" t="s">
        <v>7</v>
      </c>
      <c r="B24" t="s">
        <v>28</v>
      </c>
      <c r="C24" t="s">
        <v>13</v>
      </c>
      <c r="D24">
        <v>100</v>
      </c>
      <c r="E24">
        <v>10</v>
      </c>
      <c r="F24" s="2">
        <f>Table1[[#This Row],[PRECIO POR UNIDAD]]*Table1[[#This Row],[VENTAS MENSUALES UNITARIAS]]</f>
        <v>1000</v>
      </c>
    </row>
    <row r="25" spans="1:9" x14ac:dyDescent="0.25">
      <c r="A25" t="s">
        <v>7</v>
      </c>
      <c r="B25" t="s">
        <v>28</v>
      </c>
      <c r="C25" t="s">
        <v>18</v>
      </c>
      <c r="D25">
        <v>150</v>
      </c>
      <c r="E25">
        <v>10</v>
      </c>
      <c r="F25" s="2">
        <f>Table1[[#This Row],[PRECIO POR UNIDAD]]*Table1[[#This Row],[VENTAS MENSUALES UNITARIAS]]</f>
        <v>1500</v>
      </c>
    </row>
    <row r="26" spans="1:9" x14ac:dyDescent="0.25">
      <c r="A26" t="s">
        <v>29</v>
      </c>
      <c r="B26" t="s">
        <v>29</v>
      </c>
      <c r="C26" t="s">
        <v>29</v>
      </c>
      <c r="D26">
        <f>SUM(D5:D25)</f>
        <v>24450</v>
      </c>
      <c r="F26" s="2">
        <f>SUBTOTAL(109,F5:F25)</f>
        <v>1202900</v>
      </c>
    </row>
    <row r="29" spans="1:9" x14ac:dyDescent="0.25">
      <c r="A29" t="s">
        <v>30</v>
      </c>
      <c r="B29" t="s">
        <v>31</v>
      </c>
      <c r="C29" t="s">
        <v>32</v>
      </c>
      <c r="D29" t="s">
        <v>33</v>
      </c>
    </row>
    <row r="30" spans="1:9" x14ac:dyDescent="0.25">
      <c r="A30" t="s">
        <v>34</v>
      </c>
      <c r="B30" t="s">
        <v>35</v>
      </c>
      <c r="C30">
        <v>1</v>
      </c>
      <c r="D30" s="3">
        <v>0.2</v>
      </c>
    </row>
    <row r="31" spans="1:9" x14ac:dyDescent="0.25">
      <c r="A31" t="s">
        <v>34</v>
      </c>
      <c r="B31" t="s">
        <v>36</v>
      </c>
      <c r="D31" s="4">
        <v>0.15</v>
      </c>
    </row>
    <row r="32" spans="1:9" x14ac:dyDescent="0.25">
      <c r="A32" t="s">
        <v>34</v>
      </c>
      <c r="B32" t="s">
        <v>37</v>
      </c>
      <c r="C32">
        <v>1</v>
      </c>
      <c r="D32" s="4">
        <v>0.1</v>
      </c>
    </row>
    <row r="33" spans="1:4" x14ac:dyDescent="0.25">
      <c r="A33" t="s">
        <v>34</v>
      </c>
      <c r="B33" t="s">
        <v>38</v>
      </c>
      <c r="D33" s="4">
        <v>0.12</v>
      </c>
    </row>
    <row r="34" spans="1:4" x14ac:dyDescent="0.25">
      <c r="A34" t="s">
        <v>34</v>
      </c>
      <c r="B34" t="s">
        <v>39</v>
      </c>
      <c r="C34">
        <v>1</v>
      </c>
      <c r="D34" s="4">
        <v>0.15</v>
      </c>
    </row>
    <row r="35" spans="1:4" x14ac:dyDescent="0.25">
      <c r="A35" t="s">
        <v>34</v>
      </c>
      <c r="B35" t="s">
        <v>40</v>
      </c>
      <c r="D35" s="4">
        <v>0.13</v>
      </c>
    </row>
    <row r="36" spans="1:4" x14ac:dyDescent="0.25">
      <c r="A36" t="s">
        <v>34</v>
      </c>
      <c r="B36" t="s">
        <v>41</v>
      </c>
      <c r="C36">
        <v>1</v>
      </c>
      <c r="D36" s="4">
        <v>7.0000000000000007E-2</v>
      </c>
    </row>
    <row r="37" spans="1:4" x14ac:dyDescent="0.25">
      <c r="A37" t="s">
        <v>34</v>
      </c>
      <c r="B37" t="s">
        <v>42</v>
      </c>
      <c r="D37" s="4">
        <v>0.06</v>
      </c>
    </row>
    <row r="38" spans="1:4" x14ac:dyDescent="0.25">
      <c r="A38" t="s">
        <v>34</v>
      </c>
      <c r="B38" t="s">
        <v>43</v>
      </c>
      <c r="C38">
        <v>1</v>
      </c>
      <c r="D38" s="4">
        <v>0.02</v>
      </c>
    </row>
    <row r="39" spans="1:4" x14ac:dyDescent="0.25">
      <c r="A39" s="5" t="s">
        <v>29</v>
      </c>
      <c r="B39" s="5" t="s">
        <v>29</v>
      </c>
      <c r="C39">
        <f>COUNT(C30:C38)</f>
        <v>5</v>
      </c>
      <c r="D39" s="3">
        <f>SUM(D30:D38)</f>
        <v>1</v>
      </c>
    </row>
  </sheetData>
  <mergeCells count="3">
    <mergeCell ref="A1:E1"/>
    <mergeCell ref="H12:I12"/>
    <mergeCell ref="H15:I15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13EA-165C-42E4-92BA-FE6C12718C2D}">
  <dimension ref="A1:O33"/>
  <sheetViews>
    <sheetView zoomScale="60" zoomScaleNormal="60" workbookViewId="0">
      <selection sqref="A1:XFD1048576"/>
    </sheetView>
  </sheetViews>
  <sheetFormatPr baseColWidth="10" defaultColWidth="8.85546875" defaultRowHeight="15" x14ac:dyDescent="0.25"/>
  <cols>
    <col min="1" max="1" width="29.28515625" customWidth="1"/>
    <col min="2" max="2" width="34.85546875" customWidth="1"/>
    <col min="3" max="3" width="26.85546875" customWidth="1"/>
    <col min="4" max="4" width="33.140625" customWidth="1"/>
    <col min="5" max="5" width="26.7109375" customWidth="1"/>
    <col min="6" max="6" width="43.42578125" customWidth="1"/>
    <col min="7" max="7" width="14" bestFit="1" customWidth="1"/>
    <col min="9" max="9" width="11.85546875" bestFit="1" customWidth="1"/>
    <col min="10" max="10" width="7.5703125" customWidth="1"/>
    <col min="11" max="11" width="2.5703125" customWidth="1"/>
    <col min="12" max="12" width="18.28515625" bestFit="1" customWidth="1"/>
    <col min="13" max="13" width="14.140625" bestFit="1" customWidth="1"/>
    <col min="15" max="15" width="12.28515625" bestFit="1" customWidth="1"/>
  </cols>
  <sheetData>
    <row r="1" spans="1:15" ht="15.75" x14ac:dyDescent="0.25">
      <c r="A1" s="1" t="s">
        <v>55</v>
      </c>
      <c r="B1" s="1"/>
      <c r="C1" s="1"/>
      <c r="D1" s="1"/>
      <c r="E1" s="1"/>
    </row>
    <row r="4" spans="1:15" x14ac:dyDescent="0.25">
      <c r="A4" s="21" t="s">
        <v>31</v>
      </c>
      <c r="B4" s="21" t="s">
        <v>56</v>
      </c>
      <c r="C4" s="21" t="s">
        <v>57</v>
      </c>
      <c r="D4" s="21" t="s">
        <v>58</v>
      </c>
      <c r="E4" t="s">
        <v>59</v>
      </c>
      <c r="F4" s="21" t="s">
        <v>60</v>
      </c>
    </row>
    <row r="5" spans="1:15" x14ac:dyDescent="0.25">
      <c r="A5" s="21" t="s">
        <v>35</v>
      </c>
      <c r="B5" s="21">
        <v>25</v>
      </c>
      <c r="C5" s="21">
        <v>5</v>
      </c>
      <c r="D5" s="21">
        <v>100</v>
      </c>
      <c r="E5">
        <f>Table3[[#This Row],[TRAMOS PROMEDIO]]*Table3[[#This Row],[NIVELES DE VENTA PROMEDIO]]*Table3[[#This Row],[ANCHO CHAROLA CM]]/100</f>
        <v>125</v>
      </c>
      <c r="F5" s="21">
        <f>Table3[[#This Row],[MLD]]/0.2</f>
        <v>625</v>
      </c>
    </row>
    <row r="6" spans="1:15" x14ac:dyDescent="0.25">
      <c r="A6" s="21" t="s">
        <v>36</v>
      </c>
      <c r="B6" s="21">
        <v>20</v>
      </c>
      <c r="C6" s="21">
        <v>7</v>
      </c>
      <c r="D6" s="21">
        <v>120</v>
      </c>
      <c r="E6">
        <f>Table3[[#This Row],[TRAMOS PROMEDIO]]*Table3[[#This Row],[NIVELES DE VENTA PROMEDIO]]*Table3[[#This Row],[ANCHO CHAROLA CM]]/100</f>
        <v>168</v>
      </c>
      <c r="F6" s="21">
        <f>Table3[[#This Row],[MLD]]/0.2</f>
        <v>840</v>
      </c>
    </row>
    <row r="7" spans="1:15" x14ac:dyDescent="0.25">
      <c r="A7" s="21" t="s">
        <v>37</v>
      </c>
      <c r="B7" s="21">
        <v>15</v>
      </c>
      <c r="C7" s="21">
        <v>8</v>
      </c>
      <c r="D7" s="21">
        <v>100</v>
      </c>
      <c r="E7">
        <f>Table3[[#This Row],[TRAMOS PROMEDIO]]*Table3[[#This Row],[NIVELES DE VENTA PROMEDIO]]*Table3[[#This Row],[ANCHO CHAROLA CM]]/100</f>
        <v>120</v>
      </c>
      <c r="F7" s="21">
        <f>Table3[[#This Row],[MLD]]/0.2</f>
        <v>600</v>
      </c>
      <c r="M7">
        <f>365/12</f>
        <v>30.416666666666668</v>
      </c>
    </row>
    <row r="8" spans="1:15" x14ac:dyDescent="0.25">
      <c r="A8" s="21" t="s">
        <v>38</v>
      </c>
      <c r="B8" s="21">
        <v>10</v>
      </c>
      <c r="C8" s="21">
        <v>8</v>
      </c>
      <c r="D8" s="21">
        <v>120</v>
      </c>
      <c r="E8">
        <f>Table3[[#This Row],[TRAMOS PROMEDIO]]*Table3[[#This Row],[NIVELES DE VENTA PROMEDIO]]*Table3[[#This Row],[ANCHO CHAROLA CM]]/100</f>
        <v>96</v>
      </c>
      <c r="F8" s="21">
        <f>Table3[[#This Row],[MLD]]/0.2</f>
        <v>480</v>
      </c>
    </row>
    <row r="9" spans="1:15" x14ac:dyDescent="0.25">
      <c r="A9" s="21" t="s">
        <v>39</v>
      </c>
      <c r="B9" s="21">
        <v>5</v>
      </c>
      <c r="C9" s="21">
        <v>6</v>
      </c>
      <c r="D9" s="21">
        <v>100</v>
      </c>
      <c r="E9">
        <f>Table3[[#This Row],[TRAMOS PROMEDIO]]*Table3[[#This Row],[NIVELES DE VENTA PROMEDIO]]*Table3[[#This Row],[ANCHO CHAROLA CM]]/100</f>
        <v>30</v>
      </c>
      <c r="F9" s="21">
        <f>Table3[[#This Row],[MLD]]/0.2</f>
        <v>150</v>
      </c>
    </row>
    <row r="11" spans="1:15" x14ac:dyDescent="0.25">
      <c r="A11" s="6" t="s">
        <v>2</v>
      </c>
      <c r="B11" s="6" t="s">
        <v>3</v>
      </c>
      <c r="C11" s="6" t="s">
        <v>4</v>
      </c>
      <c r="D11" s="6" t="s">
        <v>61</v>
      </c>
      <c r="E11" s="22" t="s">
        <v>62</v>
      </c>
      <c r="F11" s="22" t="s">
        <v>63</v>
      </c>
      <c r="G11" s="22" t="s">
        <v>64</v>
      </c>
      <c r="H11" s="22" t="s">
        <v>65</v>
      </c>
      <c r="I11" s="22" t="s">
        <v>66</v>
      </c>
      <c r="J11" s="22" t="s">
        <v>67</v>
      </c>
      <c r="L11" s="22" t="s">
        <v>68</v>
      </c>
      <c r="M11" s="22" t="s">
        <v>69</v>
      </c>
      <c r="O11" s="22" t="s">
        <v>70</v>
      </c>
    </row>
    <row r="12" spans="1:15" x14ac:dyDescent="0.25">
      <c r="A12" s="23" t="s">
        <v>8</v>
      </c>
      <c r="B12" s="23" t="s">
        <v>9</v>
      </c>
      <c r="C12" s="23">
        <v>1000</v>
      </c>
      <c r="D12" s="23">
        <v>6</v>
      </c>
      <c r="E12" s="23">
        <v>8</v>
      </c>
      <c r="F12" s="23">
        <v>10</v>
      </c>
      <c r="G12">
        <f>D12*E12</f>
        <v>48</v>
      </c>
      <c r="H12" s="24">
        <f>G12/$G$33</f>
        <v>0.11970074812967581</v>
      </c>
      <c r="I12" s="24">
        <f>C12/$C$33</f>
        <v>4.0899795501022497E-2</v>
      </c>
      <c r="J12" s="25">
        <f>INT(H12/I12*100)</f>
        <v>292</v>
      </c>
      <c r="L12">
        <f>D12*F12</f>
        <v>60</v>
      </c>
      <c r="M12" s="25">
        <f>C12/$M$7</f>
        <v>32.87671232876712</v>
      </c>
      <c r="O12" s="20">
        <f>L12/M12</f>
        <v>1.8250000000000002</v>
      </c>
    </row>
    <row r="13" spans="1:15" x14ac:dyDescent="0.25">
      <c r="A13" s="5" t="s">
        <v>8</v>
      </c>
      <c r="B13" s="5" t="s">
        <v>10</v>
      </c>
      <c r="C13" s="5">
        <v>1200</v>
      </c>
      <c r="D13" s="5">
        <v>4</v>
      </c>
      <c r="E13" s="5">
        <v>7</v>
      </c>
      <c r="F13" s="5">
        <v>10</v>
      </c>
      <c r="G13">
        <f t="shared" ref="G13:G32" si="0">D13*E13</f>
        <v>28</v>
      </c>
      <c r="H13" s="24">
        <f t="shared" ref="H13:H32" si="1">G13/$G$33</f>
        <v>6.9825436408977551E-2</v>
      </c>
      <c r="I13" s="24">
        <f t="shared" ref="I13:I32" si="2">C13/$C$33</f>
        <v>4.9079754601226995E-2</v>
      </c>
      <c r="J13" s="25">
        <f t="shared" ref="J13:J32" si="3">INT(H13/I13*100)</f>
        <v>142</v>
      </c>
      <c r="L13">
        <f t="shared" ref="L13:L32" si="4">D13*F13</f>
        <v>40</v>
      </c>
      <c r="M13" s="25">
        <f t="shared" ref="M13:M32" si="5">C13/$M$7</f>
        <v>39.452054794520549</v>
      </c>
      <c r="O13" s="20">
        <f t="shared" ref="O13:O32" si="6">L13/M13</f>
        <v>1.0138888888888888</v>
      </c>
    </row>
    <row r="14" spans="1:15" x14ac:dyDescent="0.25">
      <c r="A14" s="23" t="s">
        <v>8</v>
      </c>
      <c r="B14" s="23" t="s">
        <v>11</v>
      </c>
      <c r="C14" s="23">
        <v>2000</v>
      </c>
      <c r="D14" s="23">
        <v>2</v>
      </c>
      <c r="E14" s="23">
        <v>8</v>
      </c>
      <c r="F14" s="23">
        <v>10</v>
      </c>
      <c r="G14">
        <f t="shared" si="0"/>
        <v>16</v>
      </c>
      <c r="H14" s="24">
        <f t="shared" si="1"/>
        <v>3.9900249376558602E-2</v>
      </c>
      <c r="I14" s="24">
        <f t="shared" si="2"/>
        <v>8.1799591002044994E-2</v>
      </c>
      <c r="J14" s="25">
        <f t="shared" si="3"/>
        <v>48</v>
      </c>
      <c r="L14">
        <f t="shared" si="4"/>
        <v>20</v>
      </c>
      <c r="M14" s="25">
        <f t="shared" si="5"/>
        <v>65.753424657534239</v>
      </c>
      <c r="O14" s="20">
        <f t="shared" si="6"/>
        <v>0.3041666666666667</v>
      </c>
    </row>
    <row r="15" spans="1:15" x14ac:dyDescent="0.25">
      <c r="A15" s="5" t="s">
        <v>8</v>
      </c>
      <c r="B15" s="5" t="s">
        <v>12</v>
      </c>
      <c r="C15" s="5">
        <v>2500</v>
      </c>
      <c r="D15" s="5">
        <v>3</v>
      </c>
      <c r="E15" s="5">
        <v>6</v>
      </c>
      <c r="F15" s="5">
        <v>10</v>
      </c>
      <c r="G15">
        <f t="shared" si="0"/>
        <v>18</v>
      </c>
      <c r="H15" s="24">
        <f t="shared" si="1"/>
        <v>4.488778054862843E-2</v>
      </c>
      <c r="I15" s="24">
        <f t="shared" si="2"/>
        <v>0.10224948875255624</v>
      </c>
      <c r="J15" s="25">
        <f t="shared" si="3"/>
        <v>43</v>
      </c>
      <c r="L15">
        <f t="shared" si="4"/>
        <v>30</v>
      </c>
      <c r="M15" s="25">
        <f t="shared" si="5"/>
        <v>82.191780821917803</v>
      </c>
      <c r="O15" s="20">
        <f t="shared" si="6"/>
        <v>0.36500000000000005</v>
      </c>
    </row>
    <row r="16" spans="1:15" x14ac:dyDescent="0.25">
      <c r="A16" s="23" t="s">
        <v>8</v>
      </c>
      <c r="B16" s="23" t="s">
        <v>13</v>
      </c>
      <c r="C16" s="23">
        <v>10000</v>
      </c>
      <c r="D16" s="23">
        <v>9</v>
      </c>
      <c r="E16" s="23">
        <v>7</v>
      </c>
      <c r="F16" s="23">
        <v>10</v>
      </c>
      <c r="G16">
        <f t="shared" si="0"/>
        <v>63</v>
      </c>
      <c r="H16" s="24">
        <f t="shared" si="1"/>
        <v>0.15710723192019951</v>
      </c>
      <c r="I16" s="24">
        <f t="shared" si="2"/>
        <v>0.40899795501022496</v>
      </c>
      <c r="J16" s="25">
        <f t="shared" si="3"/>
        <v>38</v>
      </c>
      <c r="L16">
        <f t="shared" si="4"/>
        <v>90</v>
      </c>
      <c r="M16" s="25">
        <f t="shared" si="5"/>
        <v>328.76712328767121</v>
      </c>
      <c r="O16" s="20">
        <f t="shared" si="6"/>
        <v>0.27374999999999999</v>
      </c>
    </row>
    <row r="17" spans="1:15" x14ac:dyDescent="0.25">
      <c r="A17" s="5" t="s">
        <v>8</v>
      </c>
      <c r="B17" s="5" t="s">
        <v>14</v>
      </c>
      <c r="C17" s="5">
        <v>400</v>
      </c>
      <c r="D17" s="5">
        <v>4</v>
      </c>
      <c r="E17" s="5">
        <v>8</v>
      </c>
      <c r="F17" s="5">
        <v>10</v>
      </c>
      <c r="G17">
        <f t="shared" si="0"/>
        <v>32</v>
      </c>
      <c r="H17" s="24">
        <f t="shared" si="1"/>
        <v>7.9800498753117205E-2</v>
      </c>
      <c r="I17" s="24">
        <f t="shared" si="2"/>
        <v>1.6359918200408999E-2</v>
      </c>
      <c r="J17" s="25">
        <f t="shared" si="3"/>
        <v>487</v>
      </c>
      <c r="L17">
        <f t="shared" si="4"/>
        <v>40</v>
      </c>
      <c r="M17" s="25">
        <f t="shared" si="5"/>
        <v>13.150684931506849</v>
      </c>
      <c r="O17" s="20">
        <f t="shared" si="6"/>
        <v>3.041666666666667</v>
      </c>
    </row>
    <row r="18" spans="1:15" x14ac:dyDescent="0.25">
      <c r="A18" s="23" t="s">
        <v>8</v>
      </c>
      <c r="B18" s="23" t="s">
        <v>15</v>
      </c>
      <c r="C18" s="23">
        <v>450</v>
      </c>
      <c r="D18" s="23">
        <v>2</v>
      </c>
      <c r="E18" s="23">
        <v>5</v>
      </c>
      <c r="F18" s="23">
        <v>10</v>
      </c>
      <c r="G18">
        <f t="shared" si="0"/>
        <v>10</v>
      </c>
      <c r="H18" s="24">
        <f t="shared" si="1"/>
        <v>2.4937655860349128E-2</v>
      </c>
      <c r="I18" s="24">
        <f t="shared" si="2"/>
        <v>1.8404907975460124E-2</v>
      </c>
      <c r="J18" s="25">
        <f t="shared" si="3"/>
        <v>135</v>
      </c>
      <c r="L18">
        <f t="shared" si="4"/>
        <v>20</v>
      </c>
      <c r="M18" s="25">
        <f t="shared" si="5"/>
        <v>14.794520547945204</v>
      </c>
      <c r="O18" s="20">
        <f t="shared" si="6"/>
        <v>1.3518518518518519</v>
      </c>
    </row>
    <row r="19" spans="1:15" x14ac:dyDescent="0.25">
      <c r="A19" s="5" t="s">
        <v>8</v>
      </c>
      <c r="B19" s="5" t="s">
        <v>16</v>
      </c>
      <c r="C19" s="5">
        <v>500</v>
      </c>
      <c r="D19" s="5">
        <v>2</v>
      </c>
      <c r="E19" s="5">
        <v>7</v>
      </c>
      <c r="F19" s="5">
        <v>10</v>
      </c>
      <c r="G19">
        <f t="shared" si="0"/>
        <v>14</v>
      </c>
      <c r="H19" s="24">
        <f t="shared" si="1"/>
        <v>3.4912718204488775E-2</v>
      </c>
      <c r="I19" s="24">
        <f t="shared" si="2"/>
        <v>2.0449897750511249E-2</v>
      </c>
      <c r="J19" s="25">
        <f t="shared" si="3"/>
        <v>170</v>
      </c>
      <c r="L19">
        <f t="shared" si="4"/>
        <v>20</v>
      </c>
      <c r="M19" s="25">
        <f t="shared" si="5"/>
        <v>16.43835616438356</v>
      </c>
      <c r="O19" s="20">
        <f t="shared" si="6"/>
        <v>1.2166666666666668</v>
      </c>
    </row>
    <row r="20" spans="1:15" x14ac:dyDescent="0.25">
      <c r="A20" s="23" t="s">
        <v>8</v>
      </c>
      <c r="B20" s="23" t="s">
        <v>17</v>
      </c>
      <c r="C20" s="23">
        <v>600</v>
      </c>
      <c r="D20" s="23">
        <v>1</v>
      </c>
      <c r="E20" s="23">
        <v>8</v>
      </c>
      <c r="F20" s="23">
        <v>10</v>
      </c>
      <c r="G20">
        <f t="shared" si="0"/>
        <v>8</v>
      </c>
      <c r="H20" s="24">
        <f t="shared" si="1"/>
        <v>1.9950124688279301E-2</v>
      </c>
      <c r="I20" s="24">
        <f t="shared" si="2"/>
        <v>2.4539877300613498E-2</v>
      </c>
      <c r="J20" s="25">
        <f t="shared" si="3"/>
        <v>81</v>
      </c>
      <c r="L20">
        <f t="shared" si="4"/>
        <v>10</v>
      </c>
      <c r="M20" s="25">
        <f t="shared" si="5"/>
        <v>19.726027397260275</v>
      </c>
      <c r="O20" s="20">
        <f t="shared" si="6"/>
        <v>0.50694444444444442</v>
      </c>
    </row>
    <row r="21" spans="1:15" x14ac:dyDescent="0.25">
      <c r="A21" s="5" t="s">
        <v>8</v>
      </c>
      <c r="B21" s="5" t="s">
        <v>18</v>
      </c>
      <c r="C21" s="5">
        <v>650</v>
      </c>
      <c r="D21" s="5">
        <v>4</v>
      </c>
      <c r="E21" s="5">
        <v>7</v>
      </c>
      <c r="F21" s="5">
        <v>10</v>
      </c>
      <c r="G21">
        <f t="shared" si="0"/>
        <v>28</v>
      </c>
      <c r="H21" s="24">
        <f t="shared" si="1"/>
        <v>6.9825436408977551E-2</v>
      </c>
      <c r="I21" s="24">
        <f t="shared" si="2"/>
        <v>2.6584867075664622E-2</v>
      </c>
      <c r="J21" s="25">
        <f t="shared" si="3"/>
        <v>262</v>
      </c>
      <c r="L21">
        <f t="shared" si="4"/>
        <v>40</v>
      </c>
      <c r="M21" s="25">
        <f t="shared" si="5"/>
        <v>21.36986301369863</v>
      </c>
      <c r="O21" s="20">
        <f t="shared" si="6"/>
        <v>1.8717948717948718</v>
      </c>
    </row>
    <row r="22" spans="1:15" x14ac:dyDescent="0.25">
      <c r="A22" s="23" t="s">
        <v>19</v>
      </c>
      <c r="B22" s="23" t="s">
        <v>20</v>
      </c>
      <c r="C22" s="23">
        <v>800</v>
      </c>
      <c r="D22" s="23">
        <v>4</v>
      </c>
      <c r="E22" s="23">
        <v>8</v>
      </c>
      <c r="F22" s="23">
        <v>10</v>
      </c>
      <c r="G22">
        <f t="shared" si="0"/>
        <v>32</v>
      </c>
      <c r="H22" s="24">
        <f t="shared" si="1"/>
        <v>7.9800498753117205E-2</v>
      </c>
      <c r="I22" s="24">
        <f t="shared" si="2"/>
        <v>3.2719836400817999E-2</v>
      </c>
      <c r="J22" s="25">
        <f t="shared" si="3"/>
        <v>243</v>
      </c>
      <c r="L22">
        <f t="shared" si="4"/>
        <v>40</v>
      </c>
      <c r="M22" s="25">
        <f t="shared" si="5"/>
        <v>26.301369863013697</v>
      </c>
      <c r="O22" s="20">
        <f t="shared" si="6"/>
        <v>1.5208333333333335</v>
      </c>
    </row>
    <row r="23" spans="1:15" x14ac:dyDescent="0.25">
      <c r="A23" s="5" t="s">
        <v>19</v>
      </c>
      <c r="B23" s="5" t="s">
        <v>13</v>
      </c>
      <c r="C23" s="5">
        <v>1000</v>
      </c>
      <c r="D23" s="5">
        <v>4</v>
      </c>
      <c r="E23" s="5">
        <v>4</v>
      </c>
      <c r="F23" s="5">
        <v>10</v>
      </c>
      <c r="G23">
        <f t="shared" si="0"/>
        <v>16</v>
      </c>
      <c r="H23" s="24">
        <f t="shared" si="1"/>
        <v>3.9900249376558602E-2</v>
      </c>
      <c r="I23" s="24">
        <f t="shared" si="2"/>
        <v>4.0899795501022497E-2</v>
      </c>
      <c r="J23" s="25">
        <f t="shared" si="3"/>
        <v>97</v>
      </c>
      <c r="L23">
        <f t="shared" si="4"/>
        <v>40</v>
      </c>
      <c r="M23" s="25">
        <f t="shared" si="5"/>
        <v>32.87671232876712</v>
      </c>
      <c r="O23" s="20">
        <f t="shared" si="6"/>
        <v>1.2166666666666668</v>
      </c>
    </row>
    <row r="24" spans="1:15" x14ac:dyDescent="0.25">
      <c r="A24" s="23" t="s">
        <v>19</v>
      </c>
      <c r="B24" s="23" t="s">
        <v>21</v>
      </c>
      <c r="C24" s="23">
        <v>1500</v>
      </c>
      <c r="D24" s="23">
        <v>4</v>
      </c>
      <c r="E24" s="23">
        <v>7</v>
      </c>
      <c r="F24" s="23">
        <v>10</v>
      </c>
      <c r="G24">
        <f t="shared" si="0"/>
        <v>28</v>
      </c>
      <c r="H24" s="24">
        <f t="shared" si="1"/>
        <v>6.9825436408977551E-2</v>
      </c>
      <c r="I24" s="24">
        <f t="shared" si="2"/>
        <v>6.1349693251533742E-2</v>
      </c>
      <c r="J24" s="25">
        <f t="shared" si="3"/>
        <v>113</v>
      </c>
      <c r="L24">
        <f t="shared" si="4"/>
        <v>40</v>
      </c>
      <c r="M24" s="25">
        <f t="shared" si="5"/>
        <v>49.315068493150683</v>
      </c>
      <c r="O24" s="20">
        <f t="shared" si="6"/>
        <v>0.81111111111111112</v>
      </c>
    </row>
    <row r="25" spans="1:15" x14ac:dyDescent="0.25">
      <c r="A25" s="5" t="s">
        <v>19</v>
      </c>
      <c r="B25" s="5" t="s">
        <v>22</v>
      </c>
      <c r="C25" s="5">
        <v>200</v>
      </c>
      <c r="D25" s="5">
        <v>2</v>
      </c>
      <c r="E25" s="5">
        <v>8</v>
      </c>
      <c r="F25" s="5">
        <v>10</v>
      </c>
      <c r="G25">
        <f t="shared" si="0"/>
        <v>16</v>
      </c>
      <c r="H25" s="24">
        <f t="shared" si="1"/>
        <v>3.9900249376558602E-2</v>
      </c>
      <c r="I25" s="24">
        <f t="shared" si="2"/>
        <v>8.1799591002044997E-3</v>
      </c>
      <c r="J25" s="25">
        <f t="shared" si="3"/>
        <v>487</v>
      </c>
      <c r="L25">
        <f t="shared" si="4"/>
        <v>20</v>
      </c>
      <c r="M25" s="25">
        <f t="shared" si="5"/>
        <v>6.5753424657534243</v>
      </c>
      <c r="O25" s="20">
        <f t="shared" si="6"/>
        <v>3.041666666666667</v>
      </c>
    </row>
    <row r="26" spans="1:15" x14ac:dyDescent="0.25">
      <c r="A26" s="23" t="s">
        <v>19</v>
      </c>
      <c r="B26" s="23" t="s">
        <v>18</v>
      </c>
      <c r="C26" s="23">
        <v>100</v>
      </c>
      <c r="D26" s="23">
        <v>1</v>
      </c>
      <c r="E26" s="23">
        <v>4</v>
      </c>
      <c r="F26" s="23">
        <v>10</v>
      </c>
      <c r="G26">
        <f t="shared" si="0"/>
        <v>4</v>
      </c>
      <c r="H26" s="24">
        <f t="shared" si="1"/>
        <v>9.9750623441396506E-3</v>
      </c>
      <c r="I26" s="24">
        <f t="shared" si="2"/>
        <v>4.0899795501022499E-3</v>
      </c>
      <c r="J26" s="25">
        <f t="shared" si="3"/>
        <v>243</v>
      </c>
      <c r="L26">
        <f t="shared" si="4"/>
        <v>10</v>
      </c>
      <c r="M26" s="25">
        <f t="shared" si="5"/>
        <v>3.2876712328767121</v>
      </c>
      <c r="O26" s="20">
        <f t="shared" si="6"/>
        <v>3.041666666666667</v>
      </c>
    </row>
    <row r="27" spans="1:15" x14ac:dyDescent="0.25">
      <c r="A27" s="5" t="s">
        <v>19</v>
      </c>
      <c r="B27" s="5" t="s">
        <v>23</v>
      </c>
      <c r="C27" s="5">
        <v>500</v>
      </c>
      <c r="D27" s="5">
        <v>2</v>
      </c>
      <c r="E27" s="5">
        <v>5</v>
      </c>
      <c r="F27" s="5">
        <v>10</v>
      </c>
      <c r="G27">
        <f t="shared" si="0"/>
        <v>10</v>
      </c>
      <c r="H27" s="24">
        <f t="shared" si="1"/>
        <v>2.4937655860349128E-2</v>
      </c>
      <c r="I27" s="24">
        <f t="shared" si="2"/>
        <v>2.0449897750511249E-2</v>
      </c>
      <c r="J27" s="25">
        <f t="shared" si="3"/>
        <v>121</v>
      </c>
      <c r="L27">
        <f t="shared" si="4"/>
        <v>20</v>
      </c>
      <c r="M27" s="25">
        <f t="shared" si="5"/>
        <v>16.43835616438356</v>
      </c>
      <c r="O27" s="20">
        <f t="shared" si="6"/>
        <v>1.2166666666666668</v>
      </c>
    </row>
    <row r="28" spans="1:15" x14ac:dyDescent="0.25">
      <c r="A28" s="23" t="s">
        <v>24</v>
      </c>
      <c r="B28" s="23" t="s">
        <v>25</v>
      </c>
      <c r="C28" s="23">
        <v>100</v>
      </c>
      <c r="D28" s="23">
        <v>1</v>
      </c>
      <c r="E28" s="23">
        <v>4</v>
      </c>
      <c r="F28" s="23">
        <v>10</v>
      </c>
      <c r="G28">
        <f t="shared" si="0"/>
        <v>4</v>
      </c>
      <c r="H28" s="24">
        <f t="shared" si="1"/>
        <v>9.9750623441396506E-3</v>
      </c>
      <c r="I28" s="24">
        <f t="shared" si="2"/>
        <v>4.0899795501022499E-3</v>
      </c>
      <c r="J28" s="25">
        <f t="shared" si="3"/>
        <v>243</v>
      </c>
      <c r="L28">
        <f t="shared" si="4"/>
        <v>10</v>
      </c>
      <c r="M28" s="25">
        <f t="shared" si="5"/>
        <v>3.2876712328767121</v>
      </c>
      <c r="O28" s="20">
        <f t="shared" si="6"/>
        <v>3.041666666666667</v>
      </c>
    </row>
    <row r="29" spans="1:15" x14ac:dyDescent="0.25">
      <c r="A29" s="5" t="s">
        <v>24</v>
      </c>
      <c r="B29" s="5" t="s">
        <v>26</v>
      </c>
      <c r="C29" s="5">
        <v>200</v>
      </c>
      <c r="D29" s="5">
        <v>2</v>
      </c>
      <c r="E29" s="5">
        <v>7</v>
      </c>
      <c r="F29" s="5">
        <v>10</v>
      </c>
      <c r="G29">
        <f t="shared" si="0"/>
        <v>14</v>
      </c>
      <c r="H29" s="24">
        <f t="shared" si="1"/>
        <v>3.4912718204488775E-2</v>
      </c>
      <c r="I29" s="24">
        <f t="shared" si="2"/>
        <v>8.1799591002044997E-3</v>
      </c>
      <c r="J29" s="25">
        <f t="shared" si="3"/>
        <v>426</v>
      </c>
      <c r="L29">
        <f t="shared" si="4"/>
        <v>20</v>
      </c>
      <c r="M29" s="25">
        <f t="shared" si="5"/>
        <v>6.5753424657534243</v>
      </c>
      <c r="O29" s="20">
        <f t="shared" si="6"/>
        <v>3.041666666666667</v>
      </c>
    </row>
    <row r="30" spans="1:15" x14ac:dyDescent="0.25">
      <c r="A30" s="23" t="s">
        <v>24</v>
      </c>
      <c r="B30" s="23" t="s">
        <v>27</v>
      </c>
      <c r="C30" s="23">
        <v>500</v>
      </c>
      <c r="D30" s="23">
        <v>2</v>
      </c>
      <c r="E30" s="23">
        <v>4</v>
      </c>
      <c r="F30" s="23">
        <v>10</v>
      </c>
      <c r="G30">
        <f t="shared" si="0"/>
        <v>8</v>
      </c>
      <c r="H30" s="24">
        <f t="shared" si="1"/>
        <v>1.9950124688279301E-2</v>
      </c>
      <c r="I30" s="24">
        <f t="shared" si="2"/>
        <v>2.0449897750511249E-2</v>
      </c>
      <c r="J30" s="25">
        <f t="shared" si="3"/>
        <v>97</v>
      </c>
      <c r="L30">
        <f t="shared" si="4"/>
        <v>20</v>
      </c>
      <c r="M30" s="25">
        <f t="shared" si="5"/>
        <v>16.43835616438356</v>
      </c>
      <c r="O30" s="20">
        <f t="shared" si="6"/>
        <v>1.2166666666666668</v>
      </c>
    </row>
    <row r="31" spans="1:15" x14ac:dyDescent="0.25">
      <c r="A31" s="5" t="s">
        <v>28</v>
      </c>
      <c r="B31" s="5" t="s">
        <v>13</v>
      </c>
      <c r="C31" s="5">
        <v>100</v>
      </c>
      <c r="D31" s="5">
        <v>1</v>
      </c>
      <c r="E31" s="5">
        <v>2</v>
      </c>
      <c r="F31" s="5">
        <v>10</v>
      </c>
      <c r="G31">
        <f t="shared" si="0"/>
        <v>2</v>
      </c>
      <c r="H31" s="24">
        <f t="shared" si="1"/>
        <v>4.9875311720698253E-3</v>
      </c>
      <c r="I31" s="24">
        <f t="shared" si="2"/>
        <v>4.0899795501022499E-3</v>
      </c>
      <c r="J31" s="25">
        <f t="shared" si="3"/>
        <v>121</v>
      </c>
      <c r="L31">
        <f t="shared" si="4"/>
        <v>10</v>
      </c>
      <c r="M31" s="25">
        <f t="shared" si="5"/>
        <v>3.2876712328767121</v>
      </c>
      <c r="O31" s="20">
        <f t="shared" si="6"/>
        <v>3.041666666666667</v>
      </c>
    </row>
    <row r="32" spans="1:15" x14ac:dyDescent="0.25">
      <c r="A32" s="23" t="s">
        <v>28</v>
      </c>
      <c r="B32" s="23" t="s">
        <v>18</v>
      </c>
      <c r="C32" s="23">
        <v>150</v>
      </c>
      <c r="D32" s="23">
        <v>1</v>
      </c>
      <c r="E32" s="23">
        <v>2</v>
      </c>
      <c r="F32" s="23">
        <v>10</v>
      </c>
      <c r="G32">
        <f t="shared" si="0"/>
        <v>2</v>
      </c>
      <c r="H32" s="24">
        <f t="shared" si="1"/>
        <v>4.9875311720698253E-3</v>
      </c>
      <c r="I32" s="24">
        <f t="shared" si="2"/>
        <v>6.1349693251533744E-3</v>
      </c>
      <c r="J32" s="25">
        <f t="shared" si="3"/>
        <v>81</v>
      </c>
      <c r="L32">
        <f t="shared" si="4"/>
        <v>10</v>
      </c>
      <c r="M32" s="25">
        <f t="shared" si="5"/>
        <v>4.9315068493150687</v>
      </c>
      <c r="O32" s="20">
        <f t="shared" si="6"/>
        <v>2.0277777777777777</v>
      </c>
    </row>
    <row r="33" spans="1:7" x14ac:dyDescent="0.25">
      <c r="A33" s="5" t="s">
        <v>29</v>
      </c>
      <c r="B33" s="5" t="s">
        <v>29</v>
      </c>
      <c r="C33" s="5">
        <f>SUM(C12:C32)</f>
        <v>24450</v>
      </c>
      <c r="D33" s="5">
        <f>SUM(D12:D32)</f>
        <v>61</v>
      </c>
      <c r="F33" s="23">
        <v>10</v>
      </c>
      <c r="G33">
        <f>SUM(G12:G32)</f>
        <v>401</v>
      </c>
    </row>
  </sheetData>
  <mergeCells count="1">
    <mergeCell ref="A1:E1"/>
  </mergeCells>
  <conditionalFormatting sqref="J12:J32">
    <cfRule type="cellIs" dxfId="5" priority="2" operator="lessThan">
      <formula>80</formula>
    </cfRule>
    <cfRule type="cellIs" dxfId="4" priority="3" operator="greaterThan">
      <formula>120</formula>
    </cfRule>
  </conditionalFormatting>
  <conditionalFormatting sqref="O12:O32">
    <cfRule type="cellIs" dxfId="3" priority="1" operator="lessThan">
      <formula>1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584A-8E27-4297-9C56-761F969CB78A}">
  <dimension ref="A1:J33"/>
  <sheetViews>
    <sheetView zoomScale="60" zoomScaleNormal="60" workbookViewId="0">
      <selection activeCell="G6" sqref="G6"/>
    </sheetView>
  </sheetViews>
  <sheetFormatPr baseColWidth="10" defaultColWidth="8.85546875" defaultRowHeight="15" x14ac:dyDescent="0.25"/>
  <cols>
    <col min="1" max="1" width="22.42578125" bestFit="1" customWidth="1"/>
    <col min="2" max="2" width="19.7109375" bestFit="1" customWidth="1"/>
    <col min="3" max="3" width="26.7109375" bestFit="1" customWidth="1"/>
    <col min="4" max="4" width="20" bestFit="1" customWidth="1"/>
    <col min="5" max="5" width="43.140625" bestFit="1" customWidth="1"/>
    <col min="6" max="6" width="29.140625" bestFit="1" customWidth="1"/>
    <col min="7" max="7" width="33.140625" customWidth="1"/>
    <col min="8" max="8" width="15.85546875" bestFit="1" customWidth="1"/>
    <col min="9" max="9" width="28.42578125" bestFit="1" customWidth="1"/>
    <col min="10" max="10" width="14" bestFit="1" customWidth="1"/>
  </cols>
  <sheetData>
    <row r="1" spans="1:10" ht="15.75" x14ac:dyDescent="0.25">
      <c r="A1" s="1" t="s">
        <v>71</v>
      </c>
      <c r="B1" s="1"/>
      <c r="C1" s="1"/>
      <c r="D1" s="1"/>
      <c r="E1" s="1"/>
    </row>
    <row r="4" spans="1:10" x14ac:dyDescent="0.25">
      <c r="A4" t="s">
        <v>1</v>
      </c>
      <c r="B4" t="s">
        <v>2</v>
      </c>
      <c r="C4" t="s">
        <v>3</v>
      </c>
      <c r="D4" t="s">
        <v>72</v>
      </c>
      <c r="E4" t="s">
        <v>4</v>
      </c>
      <c r="F4" t="s">
        <v>5</v>
      </c>
      <c r="G4" t="s">
        <v>73</v>
      </c>
      <c r="H4" t="s">
        <v>6</v>
      </c>
    </row>
    <row r="5" spans="1:10" x14ac:dyDescent="0.25">
      <c r="A5" t="s">
        <v>7</v>
      </c>
      <c r="B5" t="s">
        <v>28</v>
      </c>
      <c r="C5" t="s">
        <v>13</v>
      </c>
      <c r="D5">
        <v>50</v>
      </c>
      <c r="E5">
        <v>100</v>
      </c>
      <c r="F5" s="2">
        <v>10</v>
      </c>
      <c r="G5" s="26">
        <f>Table15[[#This Row],[PRECIO POR UNIDAD]]/Table15[[#This Row],[LITRAJE (ML)]]*1000</f>
        <v>200</v>
      </c>
      <c r="H5" s="26">
        <f>Table15[[#This Row],[PRECIO POR UNIDAD]]*Table15[[#This Row],[VENTAS MENSUALES UNITARIAS]]</f>
        <v>1000</v>
      </c>
      <c r="I5" s="7" t="s">
        <v>74</v>
      </c>
      <c r="J5" s="27">
        <v>70</v>
      </c>
    </row>
    <row r="6" spans="1:10" x14ac:dyDescent="0.25">
      <c r="A6" t="s">
        <v>7</v>
      </c>
      <c r="B6" t="s">
        <v>28</v>
      </c>
      <c r="C6" t="s">
        <v>18</v>
      </c>
      <c r="D6">
        <v>50</v>
      </c>
      <c r="E6">
        <v>150</v>
      </c>
      <c r="F6" s="2">
        <v>10</v>
      </c>
      <c r="G6" s="26">
        <f>Table15[[#This Row],[PRECIO POR UNIDAD]]/Table15[[#This Row],[LITRAJE (ML)]]*1000</f>
        <v>200</v>
      </c>
      <c r="H6" s="26">
        <f>Table15[[#This Row],[PRECIO POR UNIDAD]]*Table15[[#This Row],[VENTAS MENSUALES UNITARIAS]]</f>
        <v>1500</v>
      </c>
      <c r="I6" s="7" t="s">
        <v>75</v>
      </c>
      <c r="J6" s="27">
        <f>(F5+F25)/2</f>
        <v>40</v>
      </c>
    </row>
    <row r="7" spans="1:10" x14ac:dyDescent="0.25">
      <c r="A7" t="s">
        <v>7</v>
      </c>
      <c r="B7" t="s">
        <v>24</v>
      </c>
      <c r="C7" t="s">
        <v>25</v>
      </c>
      <c r="D7">
        <v>200</v>
      </c>
      <c r="E7">
        <v>100</v>
      </c>
      <c r="F7" s="2">
        <v>25</v>
      </c>
      <c r="G7" s="26">
        <f>Table15[[#This Row],[PRECIO POR UNIDAD]]/Table15[[#This Row],[LITRAJE (ML)]]*1000</f>
        <v>125</v>
      </c>
      <c r="H7" s="26">
        <f>Table15[[#This Row],[PRECIO POR UNIDAD]]*Table15[[#This Row],[VENTAS MENSUALES UNITARIAS]]</f>
        <v>2500</v>
      </c>
      <c r="I7" s="7" t="s">
        <v>76</v>
      </c>
      <c r="J7" s="28">
        <f>AVERAGE(F5:F25)</f>
        <v>40.428571428571431</v>
      </c>
    </row>
    <row r="8" spans="1:10" x14ac:dyDescent="0.25">
      <c r="A8" t="s">
        <v>7</v>
      </c>
      <c r="B8" t="s">
        <v>24</v>
      </c>
      <c r="C8" t="s">
        <v>26</v>
      </c>
      <c r="D8">
        <v>200</v>
      </c>
      <c r="E8">
        <v>200</v>
      </c>
      <c r="F8" s="2">
        <v>25</v>
      </c>
      <c r="G8" s="26">
        <f>Table15[[#This Row],[PRECIO POR UNIDAD]]/Table15[[#This Row],[LITRAJE (ML)]]*1000</f>
        <v>125</v>
      </c>
      <c r="H8" s="26">
        <f>Table15[[#This Row],[PRECIO POR UNIDAD]]*Table15[[#This Row],[VENTAS MENSUALES UNITARIAS]]</f>
        <v>5000</v>
      </c>
      <c r="I8" s="7" t="s">
        <v>77</v>
      </c>
      <c r="J8" s="28" cm="1">
        <f t="array" ref="J8">SUM(E5:E25*F5:F25)/E26</f>
        <v>49.198364008179958</v>
      </c>
    </row>
    <row r="9" spans="1:10" x14ac:dyDescent="0.25">
      <c r="A9" t="s">
        <v>7</v>
      </c>
      <c r="B9" t="s">
        <v>8</v>
      </c>
      <c r="C9" t="s">
        <v>18</v>
      </c>
      <c r="D9">
        <v>180</v>
      </c>
      <c r="E9">
        <v>650</v>
      </c>
      <c r="F9" s="2">
        <v>32</v>
      </c>
      <c r="G9" s="26">
        <f>Table15[[#This Row],[PRECIO POR UNIDAD]]/Table15[[#This Row],[LITRAJE (ML)]]*1000</f>
        <v>177.77777777777777</v>
      </c>
      <c r="H9" s="26">
        <f>Table15[[#This Row],[PRECIO POR UNIDAD]]*Table15[[#This Row],[VENTAS MENSUALES UNITARIAS]]</f>
        <v>20800</v>
      </c>
    </row>
    <row r="10" spans="1:10" x14ac:dyDescent="0.25">
      <c r="A10" t="s">
        <v>7</v>
      </c>
      <c r="B10" t="s">
        <v>24</v>
      </c>
      <c r="C10" t="s">
        <v>27</v>
      </c>
      <c r="D10">
        <v>200</v>
      </c>
      <c r="E10">
        <v>500</v>
      </c>
      <c r="F10" s="2">
        <v>32</v>
      </c>
      <c r="G10" s="26">
        <f>Table15[[#This Row],[PRECIO POR UNIDAD]]/Table15[[#This Row],[LITRAJE (ML)]]*1000</f>
        <v>160</v>
      </c>
      <c r="H10" s="26">
        <f>Table15[[#This Row],[PRECIO POR UNIDAD]]*Table15[[#This Row],[VENTAS MENSUALES UNITARIAS]]</f>
        <v>16000</v>
      </c>
    </row>
    <row r="11" spans="1:10" x14ac:dyDescent="0.25">
      <c r="A11" t="s">
        <v>7</v>
      </c>
      <c r="B11" t="s">
        <v>8</v>
      </c>
      <c r="C11" t="s">
        <v>15</v>
      </c>
      <c r="D11">
        <v>180</v>
      </c>
      <c r="E11">
        <v>450</v>
      </c>
      <c r="F11" s="2">
        <v>34</v>
      </c>
      <c r="G11" s="26">
        <f>Table15[[#This Row],[PRECIO POR UNIDAD]]/Table15[[#This Row],[LITRAJE (ML)]]*1000</f>
        <v>188.88888888888889</v>
      </c>
      <c r="H11" s="26">
        <f>Table15[[#This Row],[PRECIO POR UNIDAD]]*Table15[[#This Row],[VENTAS MENSUALES UNITARIAS]]</f>
        <v>15300</v>
      </c>
    </row>
    <row r="12" spans="1:10" x14ac:dyDescent="0.25">
      <c r="A12" t="s">
        <v>7</v>
      </c>
      <c r="B12" t="s">
        <v>8</v>
      </c>
      <c r="C12" t="s">
        <v>14</v>
      </c>
      <c r="D12">
        <v>180</v>
      </c>
      <c r="E12">
        <v>400</v>
      </c>
      <c r="F12" s="2">
        <v>35</v>
      </c>
      <c r="G12" s="26">
        <f>Table15[[#This Row],[PRECIO POR UNIDAD]]/Table15[[#This Row],[LITRAJE (ML)]]*1000</f>
        <v>194.44444444444446</v>
      </c>
      <c r="H12" s="26">
        <f>Table15[[#This Row],[PRECIO POR UNIDAD]]*Table15[[#This Row],[VENTAS MENSUALES UNITARIAS]]</f>
        <v>14000</v>
      </c>
    </row>
    <row r="13" spans="1:10" x14ac:dyDescent="0.25">
      <c r="A13" t="s">
        <v>7</v>
      </c>
      <c r="B13" t="s">
        <v>19</v>
      </c>
      <c r="C13" t="s">
        <v>23</v>
      </c>
      <c r="D13">
        <v>210</v>
      </c>
      <c r="E13">
        <v>500</v>
      </c>
      <c r="F13" s="2">
        <v>35</v>
      </c>
      <c r="G13" s="26">
        <f>Table15[[#This Row],[PRECIO POR UNIDAD]]/Table15[[#This Row],[LITRAJE (ML)]]*1000</f>
        <v>166.66666666666666</v>
      </c>
      <c r="H13" s="26">
        <f>Table15[[#This Row],[PRECIO POR UNIDAD]]*Table15[[#This Row],[VENTAS MENSUALES UNITARIAS]]</f>
        <v>17500</v>
      </c>
    </row>
    <row r="14" spans="1:10" x14ac:dyDescent="0.25">
      <c r="A14" t="s">
        <v>7</v>
      </c>
      <c r="B14" t="s">
        <v>8</v>
      </c>
      <c r="C14" t="s">
        <v>16</v>
      </c>
      <c r="D14">
        <v>180</v>
      </c>
      <c r="E14">
        <v>500</v>
      </c>
      <c r="F14" s="2">
        <v>38</v>
      </c>
      <c r="G14" s="26">
        <f>Table15[[#This Row],[PRECIO POR UNIDAD]]/Table15[[#This Row],[LITRAJE (ML)]]*1000</f>
        <v>211.11111111111111</v>
      </c>
      <c r="H14" s="26">
        <f>Table15[[#This Row],[PRECIO POR UNIDAD]]*Table15[[#This Row],[VENTAS MENSUALES UNITARIAS]]</f>
        <v>19000</v>
      </c>
    </row>
    <row r="15" spans="1:10" x14ac:dyDescent="0.25">
      <c r="A15" t="s">
        <v>7</v>
      </c>
      <c r="B15" t="s">
        <v>8</v>
      </c>
      <c r="C15" t="s">
        <v>17</v>
      </c>
      <c r="D15">
        <v>180</v>
      </c>
      <c r="E15">
        <v>600</v>
      </c>
      <c r="F15" s="2">
        <v>39</v>
      </c>
      <c r="G15" s="26">
        <f>Table15[[#This Row],[PRECIO POR UNIDAD]]/Table15[[#This Row],[LITRAJE (ML)]]*1000</f>
        <v>216.66666666666669</v>
      </c>
      <c r="H15" s="26">
        <f>Table15[[#This Row],[PRECIO POR UNIDAD]]*Table15[[#This Row],[VENTAS MENSUALES UNITARIAS]]</f>
        <v>23400</v>
      </c>
    </row>
    <row r="16" spans="1:10" x14ac:dyDescent="0.25">
      <c r="A16" t="s">
        <v>7</v>
      </c>
      <c r="B16" t="s">
        <v>19</v>
      </c>
      <c r="C16" t="s">
        <v>22</v>
      </c>
      <c r="D16">
        <v>210</v>
      </c>
      <c r="E16">
        <v>200</v>
      </c>
      <c r="F16" s="2">
        <v>40</v>
      </c>
      <c r="G16" s="26">
        <f>Table15[[#This Row],[PRECIO POR UNIDAD]]/Table15[[#This Row],[LITRAJE (ML)]]*1000</f>
        <v>190.47619047619045</v>
      </c>
      <c r="H16" s="26">
        <f>Table15[[#This Row],[PRECIO POR UNIDAD]]*Table15[[#This Row],[VENTAS MENSUALES UNITARIAS]]</f>
        <v>8000</v>
      </c>
    </row>
    <row r="17" spans="1:8" x14ac:dyDescent="0.25">
      <c r="A17" t="s">
        <v>7</v>
      </c>
      <c r="B17" t="s">
        <v>19</v>
      </c>
      <c r="C17" t="s">
        <v>18</v>
      </c>
      <c r="D17">
        <v>210</v>
      </c>
      <c r="E17">
        <v>100</v>
      </c>
      <c r="F17" s="2">
        <v>40</v>
      </c>
      <c r="G17" s="26">
        <f>Table15[[#This Row],[PRECIO POR UNIDAD]]/Table15[[#This Row],[LITRAJE (ML)]]*1000</f>
        <v>190.47619047619045</v>
      </c>
      <c r="H17" s="26">
        <f>Table15[[#This Row],[PRECIO POR UNIDAD]]*Table15[[#This Row],[VENTAS MENSUALES UNITARIAS]]</f>
        <v>4000</v>
      </c>
    </row>
    <row r="18" spans="1:8" x14ac:dyDescent="0.25">
      <c r="A18" t="s">
        <v>7</v>
      </c>
      <c r="B18" t="s">
        <v>8</v>
      </c>
      <c r="C18" t="s">
        <v>10</v>
      </c>
      <c r="D18">
        <v>200</v>
      </c>
      <c r="E18">
        <v>1200</v>
      </c>
      <c r="F18" s="2">
        <v>42</v>
      </c>
      <c r="G18" s="26">
        <f>Table15[[#This Row],[PRECIO POR UNIDAD]]/Table15[[#This Row],[LITRAJE (ML)]]*1000</f>
        <v>210</v>
      </c>
      <c r="H18" s="26">
        <f>Table15[[#This Row],[PRECIO POR UNIDAD]]*Table15[[#This Row],[VENTAS MENSUALES UNITARIAS]]</f>
        <v>50400</v>
      </c>
    </row>
    <row r="19" spans="1:8" x14ac:dyDescent="0.25">
      <c r="A19" t="s">
        <v>7</v>
      </c>
      <c r="B19" t="s">
        <v>8</v>
      </c>
      <c r="C19" t="s">
        <v>11</v>
      </c>
      <c r="D19">
        <v>200</v>
      </c>
      <c r="E19">
        <v>2000</v>
      </c>
      <c r="F19" s="2">
        <v>48</v>
      </c>
      <c r="G19" s="26">
        <f>Table15[[#This Row],[PRECIO POR UNIDAD]]/Table15[[#This Row],[LITRAJE (ML)]]*1000</f>
        <v>240</v>
      </c>
      <c r="H19" s="26">
        <f>Table15[[#This Row],[PRECIO POR UNIDAD]]*Table15[[#This Row],[VENTAS MENSUALES UNITARIAS]]</f>
        <v>96000</v>
      </c>
    </row>
    <row r="20" spans="1:8" x14ac:dyDescent="0.25">
      <c r="A20" t="s">
        <v>7</v>
      </c>
      <c r="B20" t="s">
        <v>8</v>
      </c>
      <c r="C20" t="s">
        <v>12</v>
      </c>
      <c r="D20">
        <v>200</v>
      </c>
      <c r="E20">
        <v>2500</v>
      </c>
      <c r="F20" s="2">
        <v>49</v>
      </c>
      <c r="G20" s="26">
        <f>Table15[[#This Row],[PRECIO POR UNIDAD]]/Table15[[#This Row],[LITRAJE (ML)]]*1000</f>
        <v>245</v>
      </c>
      <c r="H20" s="26">
        <f>Table15[[#This Row],[PRECIO POR UNIDAD]]*Table15[[#This Row],[VENTAS MENSUALES UNITARIAS]]</f>
        <v>122500</v>
      </c>
    </row>
    <row r="21" spans="1:8" x14ac:dyDescent="0.25">
      <c r="A21" t="s">
        <v>7</v>
      </c>
      <c r="B21" t="s">
        <v>8</v>
      </c>
      <c r="C21" t="s">
        <v>13</v>
      </c>
      <c r="D21">
        <v>200</v>
      </c>
      <c r="E21">
        <v>10000</v>
      </c>
      <c r="F21" s="2">
        <v>50</v>
      </c>
      <c r="G21" s="26">
        <f>Table15[[#This Row],[PRECIO POR UNIDAD]]/Table15[[#This Row],[LITRAJE (ML)]]*1000</f>
        <v>250</v>
      </c>
      <c r="H21" s="26">
        <f>Table15[[#This Row],[PRECIO POR UNIDAD]]*Table15[[#This Row],[VENTAS MENSUALES UNITARIAS]]</f>
        <v>500000</v>
      </c>
    </row>
    <row r="22" spans="1:8" x14ac:dyDescent="0.25">
      <c r="A22" t="s">
        <v>7</v>
      </c>
      <c r="B22" t="s">
        <v>8</v>
      </c>
      <c r="C22" t="s">
        <v>9</v>
      </c>
      <c r="D22">
        <v>200</v>
      </c>
      <c r="E22">
        <v>1000</v>
      </c>
      <c r="F22" s="2">
        <v>55</v>
      </c>
      <c r="G22" s="26">
        <f>Table15[[#This Row],[PRECIO POR UNIDAD]]/Table15[[#This Row],[LITRAJE (ML)]]*1000</f>
        <v>275</v>
      </c>
      <c r="H22" s="26">
        <f>Table15[[#This Row],[PRECIO POR UNIDAD]]*Table15[[#This Row],[VENTAS MENSUALES UNITARIAS]]</f>
        <v>55000</v>
      </c>
    </row>
    <row r="23" spans="1:8" x14ac:dyDescent="0.25">
      <c r="A23" t="s">
        <v>7</v>
      </c>
      <c r="B23" t="s">
        <v>19</v>
      </c>
      <c r="C23" t="s">
        <v>20</v>
      </c>
      <c r="D23">
        <v>250</v>
      </c>
      <c r="E23">
        <v>800</v>
      </c>
      <c r="F23" s="2">
        <v>70</v>
      </c>
      <c r="G23" s="26">
        <f>Table15[[#This Row],[PRECIO POR UNIDAD]]/Table15[[#This Row],[LITRAJE (ML)]]*1000</f>
        <v>280</v>
      </c>
      <c r="H23" s="26">
        <f>Table15[[#This Row],[PRECIO POR UNIDAD]]*Table15[[#This Row],[VENTAS MENSUALES UNITARIAS]]</f>
        <v>56000</v>
      </c>
    </row>
    <row r="24" spans="1:8" x14ac:dyDescent="0.25">
      <c r="A24" t="s">
        <v>7</v>
      </c>
      <c r="B24" t="s">
        <v>19</v>
      </c>
      <c r="C24" t="s">
        <v>13</v>
      </c>
      <c r="D24">
        <v>250</v>
      </c>
      <c r="E24">
        <v>1000</v>
      </c>
      <c r="F24" s="2">
        <v>70</v>
      </c>
      <c r="G24" s="26">
        <f>Table15[[#This Row],[PRECIO POR UNIDAD]]/Table15[[#This Row],[LITRAJE (ML)]]*1000</f>
        <v>280</v>
      </c>
      <c r="H24" s="26">
        <f>Table15[[#This Row],[PRECIO POR UNIDAD]]*Table15[[#This Row],[VENTAS MENSUALES UNITARIAS]]</f>
        <v>70000</v>
      </c>
    </row>
    <row r="25" spans="1:8" x14ac:dyDescent="0.25">
      <c r="A25" t="s">
        <v>7</v>
      </c>
      <c r="B25" t="s">
        <v>19</v>
      </c>
      <c r="C25" t="s">
        <v>21</v>
      </c>
      <c r="D25">
        <v>250</v>
      </c>
      <c r="E25">
        <v>1500</v>
      </c>
      <c r="F25" s="2">
        <v>70</v>
      </c>
      <c r="G25" s="26">
        <f>Table15[[#This Row],[PRECIO POR UNIDAD]]/Table15[[#This Row],[LITRAJE (ML)]]*1000</f>
        <v>280</v>
      </c>
      <c r="H25" s="26">
        <f>Table15[[#This Row],[PRECIO POR UNIDAD]]*Table15[[#This Row],[VENTAS MENSUALES UNITARIAS]]</f>
        <v>105000</v>
      </c>
    </row>
    <row r="26" spans="1:8" x14ac:dyDescent="0.25">
      <c r="A26" t="s">
        <v>29</v>
      </c>
      <c r="B26" t="s">
        <v>29</v>
      </c>
      <c r="C26" t="s">
        <v>29</v>
      </c>
      <c r="E26">
        <f>SUM(E5:E25)</f>
        <v>24450</v>
      </c>
      <c r="G26" s="26" t="e">
        <f>Table15[[#This Row],[PRECIO POR UNIDAD]]/Table15[[#This Row],[LITRAJE (ML)]]*1000</f>
        <v>#DIV/0!</v>
      </c>
      <c r="H26" s="26">
        <f>SUBTOTAL(109,H5:H25)</f>
        <v>1202900</v>
      </c>
    </row>
    <row r="27" spans="1:8" x14ac:dyDescent="0.25">
      <c r="G27" s="26"/>
      <c r="H27" s="29">
        <f>H26/E26</f>
        <v>49.198364008179958</v>
      </c>
    </row>
    <row r="33" spans="4:4" x14ac:dyDescent="0.25">
      <c r="D33" s="30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6869-A433-4088-B79B-A8E0AEFF83A0}">
  <dimension ref="A1:Q30"/>
  <sheetViews>
    <sheetView tabSelected="1" zoomScale="70" zoomScaleNormal="70" workbookViewId="0">
      <selection activeCell="K21" sqref="K21"/>
    </sheetView>
  </sheetViews>
  <sheetFormatPr baseColWidth="10" defaultColWidth="8.85546875" defaultRowHeight="15" x14ac:dyDescent="0.25"/>
  <cols>
    <col min="1" max="1" width="31.42578125" bestFit="1" customWidth="1"/>
    <col min="4" max="4" width="30" bestFit="1" customWidth="1"/>
  </cols>
  <sheetData>
    <row r="1" spans="1:17" ht="15.75" x14ac:dyDescent="0.25">
      <c r="A1" s="1" t="s">
        <v>78</v>
      </c>
      <c r="B1" s="1"/>
      <c r="C1" s="1"/>
      <c r="D1" s="1"/>
      <c r="E1" s="1"/>
    </row>
    <row r="4" spans="1:17" x14ac:dyDescent="0.25">
      <c r="A4" s="31" t="s">
        <v>79</v>
      </c>
      <c r="B4" s="31" t="s">
        <v>80</v>
      </c>
      <c r="C4" s="31" t="s">
        <v>81</v>
      </c>
      <c r="D4" s="31" t="s">
        <v>82</v>
      </c>
      <c r="E4" s="31" t="s">
        <v>83</v>
      </c>
      <c r="F4" s="31" t="s">
        <v>84</v>
      </c>
      <c r="G4" s="31" t="s">
        <v>85</v>
      </c>
      <c r="H4" s="32" t="s">
        <v>86</v>
      </c>
      <c r="I4" s="32" t="s">
        <v>87</v>
      </c>
      <c r="J4" s="32" t="s">
        <v>88</v>
      </c>
      <c r="K4" s="32" t="s">
        <v>89</v>
      </c>
      <c r="L4" s="32" t="s">
        <v>90</v>
      </c>
      <c r="M4" s="32" t="s">
        <v>91</v>
      </c>
      <c r="N4" s="32" t="s">
        <v>92</v>
      </c>
      <c r="O4" s="32" t="s">
        <v>93</v>
      </c>
      <c r="P4" s="32" t="s">
        <v>94</v>
      </c>
      <c r="Q4" s="31" t="s">
        <v>95</v>
      </c>
    </row>
    <row r="5" spans="1:17" x14ac:dyDescent="0.25">
      <c r="A5" s="33" t="s">
        <v>96</v>
      </c>
      <c r="B5" s="33">
        <v>80</v>
      </c>
      <c r="C5" s="33">
        <v>85</v>
      </c>
      <c r="D5" s="33">
        <v>86</v>
      </c>
      <c r="E5" s="33">
        <v>84</v>
      </c>
      <c r="F5" s="33">
        <v>83</v>
      </c>
      <c r="G5" s="33">
        <v>82</v>
      </c>
      <c r="H5" s="33">
        <v>70</v>
      </c>
      <c r="I5" s="33">
        <v>70</v>
      </c>
      <c r="J5" s="33">
        <v>120</v>
      </c>
      <c r="K5" s="33">
        <v>110</v>
      </c>
      <c r="L5" s="33">
        <v>105</v>
      </c>
      <c r="M5" s="33">
        <v>90</v>
      </c>
      <c r="N5" s="33">
        <v>60</v>
      </c>
      <c r="O5" s="33">
        <v>60</v>
      </c>
      <c r="P5" s="33">
        <v>70</v>
      </c>
      <c r="Q5" s="33">
        <v>85</v>
      </c>
    </row>
    <row r="6" spans="1:17" x14ac:dyDescent="0.25">
      <c r="A6" s="33" t="s">
        <v>97</v>
      </c>
      <c r="B6" s="33">
        <v>20</v>
      </c>
      <c r="C6" s="33">
        <v>20</v>
      </c>
      <c r="D6" s="33">
        <v>20</v>
      </c>
      <c r="E6" s="33">
        <v>20</v>
      </c>
      <c r="F6" s="33">
        <v>21</v>
      </c>
      <c r="G6" s="33">
        <v>21</v>
      </c>
      <c r="H6" s="33">
        <v>22</v>
      </c>
      <c r="I6" s="33">
        <v>22</v>
      </c>
      <c r="J6" s="34">
        <v>15</v>
      </c>
      <c r="K6" s="34">
        <v>15</v>
      </c>
      <c r="L6" s="34">
        <v>15</v>
      </c>
      <c r="M6" s="34">
        <v>15</v>
      </c>
      <c r="N6" s="33">
        <v>20</v>
      </c>
      <c r="O6" s="33">
        <v>20</v>
      </c>
      <c r="P6" s="33">
        <v>20</v>
      </c>
      <c r="Q6" s="33">
        <v>20</v>
      </c>
    </row>
    <row r="7" spans="1:17" x14ac:dyDescent="0.25">
      <c r="A7" s="33" t="s">
        <v>98</v>
      </c>
      <c r="B7" s="33">
        <v>14</v>
      </c>
      <c r="C7" s="33">
        <v>14</v>
      </c>
      <c r="D7" s="33">
        <v>14</v>
      </c>
      <c r="E7" s="33">
        <v>14</v>
      </c>
      <c r="F7" s="33">
        <v>14</v>
      </c>
      <c r="G7" s="33">
        <v>14</v>
      </c>
      <c r="H7" s="33">
        <v>14</v>
      </c>
      <c r="I7" s="33">
        <v>14</v>
      </c>
      <c r="J7" s="33">
        <v>9</v>
      </c>
      <c r="K7" s="33">
        <v>9</v>
      </c>
      <c r="L7" s="33">
        <v>9</v>
      </c>
      <c r="M7" s="33">
        <v>9</v>
      </c>
      <c r="N7" s="33">
        <v>14</v>
      </c>
      <c r="O7" s="33">
        <v>14</v>
      </c>
      <c r="P7" s="33">
        <v>14</v>
      </c>
      <c r="Q7" s="33">
        <v>14</v>
      </c>
    </row>
    <row r="9" spans="1:17" x14ac:dyDescent="0.25">
      <c r="A9" s="33" t="s">
        <v>99</v>
      </c>
      <c r="B9" s="33">
        <f>B5*B6</f>
        <v>1600</v>
      </c>
      <c r="C9" s="33">
        <f t="shared" ref="C9:Q9" si="0">C5*C6</f>
        <v>1700</v>
      </c>
      <c r="D9" s="33">
        <f t="shared" si="0"/>
        <v>1720</v>
      </c>
      <c r="E9" s="33">
        <f t="shared" si="0"/>
        <v>1680</v>
      </c>
      <c r="F9" s="33">
        <f t="shared" si="0"/>
        <v>1743</v>
      </c>
      <c r="G9" s="33">
        <f t="shared" si="0"/>
        <v>1722</v>
      </c>
      <c r="H9" s="33">
        <f t="shared" si="0"/>
        <v>1540</v>
      </c>
      <c r="I9" s="33">
        <f t="shared" si="0"/>
        <v>1540</v>
      </c>
      <c r="J9" s="33">
        <f t="shared" si="0"/>
        <v>1800</v>
      </c>
      <c r="K9" s="33">
        <f t="shared" si="0"/>
        <v>1650</v>
      </c>
      <c r="L9" s="33">
        <f t="shared" si="0"/>
        <v>1575</v>
      </c>
      <c r="M9" s="33">
        <f t="shared" si="0"/>
        <v>1350</v>
      </c>
      <c r="N9" s="33">
        <f t="shared" si="0"/>
        <v>1200</v>
      </c>
      <c r="O9" s="33">
        <f t="shared" si="0"/>
        <v>1200</v>
      </c>
      <c r="P9" s="33">
        <f t="shared" si="0"/>
        <v>1400</v>
      </c>
      <c r="Q9" s="33">
        <f t="shared" si="0"/>
        <v>1700</v>
      </c>
    </row>
    <row r="10" spans="1:17" x14ac:dyDescent="0.25">
      <c r="A10" s="33" t="s">
        <v>100</v>
      </c>
      <c r="B10" s="33">
        <f>B5*B7</f>
        <v>1120</v>
      </c>
      <c r="C10" s="33">
        <f t="shared" ref="C10:Q10" si="1">C5*C7</f>
        <v>1190</v>
      </c>
      <c r="D10" s="33">
        <f t="shared" si="1"/>
        <v>1204</v>
      </c>
      <c r="E10" s="33">
        <f t="shared" si="1"/>
        <v>1176</v>
      </c>
      <c r="F10" s="33">
        <f t="shared" si="1"/>
        <v>1162</v>
      </c>
      <c r="G10" s="33">
        <f t="shared" si="1"/>
        <v>1148</v>
      </c>
      <c r="H10" s="33">
        <f t="shared" si="1"/>
        <v>980</v>
      </c>
      <c r="I10" s="33">
        <f t="shared" si="1"/>
        <v>980</v>
      </c>
      <c r="J10" s="33">
        <f t="shared" si="1"/>
        <v>1080</v>
      </c>
      <c r="K10" s="33">
        <f t="shared" si="1"/>
        <v>990</v>
      </c>
      <c r="L10" s="33">
        <f t="shared" si="1"/>
        <v>945</v>
      </c>
      <c r="M10" s="33">
        <f t="shared" si="1"/>
        <v>810</v>
      </c>
      <c r="N10" s="33">
        <f t="shared" si="1"/>
        <v>840</v>
      </c>
      <c r="O10" s="33">
        <f t="shared" si="1"/>
        <v>840</v>
      </c>
      <c r="P10" s="33">
        <f t="shared" si="1"/>
        <v>980</v>
      </c>
      <c r="Q10" s="33">
        <f t="shared" si="1"/>
        <v>1190</v>
      </c>
    </row>
    <row r="12" spans="1:17" x14ac:dyDescent="0.25">
      <c r="A12" s="21" t="s">
        <v>101</v>
      </c>
      <c r="D12" t="s">
        <v>101</v>
      </c>
      <c r="I12" s="35"/>
      <c r="M12" s="35"/>
    </row>
    <row r="13" spans="1:17" x14ac:dyDescent="0.25">
      <c r="A13" t="s">
        <v>102</v>
      </c>
      <c r="B13" s="20">
        <f>AVERAGE(B5:I5,N5:Q5)</f>
        <v>76.25</v>
      </c>
      <c r="D13" t="s">
        <v>102</v>
      </c>
      <c r="E13" s="20">
        <f>AVERAGE(B5:G5,Q5)</f>
        <v>83.571428571428569</v>
      </c>
      <c r="I13" s="35"/>
      <c r="M13" s="35"/>
    </row>
    <row r="14" spans="1:17" x14ac:dyDescent="0.25">
      <c r="A14" t="s">
        <v>103</v>
      </c>
      <c r="B14" s="20">
        <f>AVERAGE(J5:M5)</f>
        <v>106.25</v>
      </c>
      <c r="D14" t="s">
        <v>103</v>
      </c>
      <c r="E14" s="20">
        <f>AVERAGE(H5:P5)</f>
        <v>83.888888888888886</v>
      </c>
      <c r="I14" s="35"/>
      <c r="M14" s="35"/>
    </row>
    <row r="15" spans="1:17" x14ac:dyDescent="0.25">
      <c r="A15" t="s">
        <v>104</v>
      </c>
      <c r="B15" s="20">
        <f>(B14-B13)*4</f>
        <v>120</v>
      </c>
      <c r="D15" t="s">
        <v>104</v>
      </c>
      <c r="E15" s="20">
        <f>(E14-E13)*9</f>
        <v>2.857142857142847</v>
      </c>
      <c r="I15" s="35"/>
      <c r="M15" s="35"/>
    </row>
    <row r="16" spans="1:17" x14ac:dyDescent="0.25">
      <c r="A16" t="s">
        <v>105</v>
      </c>
      <c r="B16" s="36">
        <f>(B14-B13)/B13</f>
        <v>0.39344262295081966</v>
      </c>
      <c r="D16" t="s">
        <v>105</v>
      </c>
      <c r="E16" s="37">
        <f>(E14-E13)/E13</f>
        <v>3.7986704653371187E-3</v>
      </c>
      <c r="I16" s="35"/>
      <c r="M16" s="35"/>
    </row>
    <row r="17" spans="1:13" x14ac:dyDescent="0.25">
      <c r="B17" s="24"/>
      <c r="I17" s="35"/>
      <c r="M17" s="35"/>
    </row>
    <row r="18" spans="1:13" x14ac:dyDescent="0.25">
      <c r="A18" t="s">
        <v>106</v>
      </c>
      <c r="D18" t="s">
        <v>106</v>
      </c>
    </row>
    <row r="19" spans="1:13" x14ac:dyDescent="0.25">
      <c r="A19" t="s">
        <v>102</v>
      </c>
      <c r="B19" s="20">
        <f>AVERAGE(B9:I9,N9:Q9)</f>
        <v>1562.0833333333333</v>
      </c>
      <c r="D19" t="s">
        <v>102</v>
      </c>
      <c r="E19" s="20">
        <f>AVERAGE(B9:G9,Q9)</f>
        <v>1695</v>
      </c>
    </row>
    <row r="20" spans="1:13" x14ac:dyDescent="0.25">
      <c r="A20" t="s">
        <v>103</v>
      </c>
      <c r="B20" s="20">
        <f>AVERAGE(J9:M9)</f>
        <v>1593.75</v>
      </c>
      <c r="D20" t="s">
        <v>103</v>
      </c>
      <c r="E20" s="20">
        <f>AVERAGE(H9:P9)</f>
        <v>1472.7777777777778</v>
      </c>
    </row>
    <row r="21" spans="1:13" x14ac:dyDescent="0.25">
      <c r="A21" t="s">
        <v>104</v>
      </c>
      <c r="B21" s="20">
        <f>(B20-B19)*4</f>
        <v>126.66666666666697</v>
      </c>
      <c r="D21" t="s">
        <v>104</v>
      </c>
      <c r="E21" s="20">
        <f>(E20-E19)*9</f>
        <v>-1999.9999999999995</v>
      </c>
    </row>
    <row r="22" spans="1:13" x14ac:dyDescent="0.25">
      <c r="A22" t="s">
        <v>105</v>
      </c>
      <c r="B22" s="37">
        <f>(B20-B19)/B19</f>
        <v>2.0272072552680764E-2</v>
      </c>
      <c r="D22" t="s">
        <v>105</v>
      </c>
      <c r="E22" s="38">
        <f>(E20-E19)/E19</f>
        <v>-0.1311045558833169</v>
      </c>
    </row>
    <row r="24" spans="1:13" x14ac:dyDescent="0.25">
      <c r="A24" t="s">
        <v>107</v>
      </c>
      <c r="D24" t="s">
        <v>107</v>
      </c>
    </row>
    <row r="25" spans="1:13" x14ac:dyDescent="0.25">
      <c r="A25" t="s">
        <v>102</v>
      </c>
      <c r="B25" s="20">
        <f>AVERAGE(B10:I10,N10:Q10)</f>
        <v>1067.5</v>
      </c>
      <c r="D25" t="s">
        <v>102</v>
      </c>
      <c r="E25" s="20">
        <f>AVERAGE(B10:G10,Q10)</f>
        <v>1170</v>
      </c>
    </row>
    <row r="26" spans="1:13" x14ac:dyDescent="0.25">
      <c r="A26" t="s">
        <v>103</v>
      </c>
      <c r="B26" s="20">
        <f>AVERAGE(J10:M10)</f>
        <v>956.25</v>
      </c>
      <c r="D26" t="s">
        <v>103</v>
      </c>
      <c r="E26" s="20">
        <f>AVERAGE(H10:P10)</f>
        <v>938.33333333333337</v>
      </c>
    </row>
    <row r="27" spans="1:13" x14ac:dyDescent="0.25">
      <c r="A27" t="s">
        <v>104</v>
      </c>
      <c r="B27" s="20">
        <f>(B26-B25)*4</f>
        <v>-445</v>
      </c>
      <c r="D27" t="s">
        <v>104</v>
      </c>
      <c r="E27" s="20">
        <f>(E26-E25)*9</f>
        <v>-2084.9999999999995</v>
      </c>
    </row>
    <row r="28" spans="1:13" x14ac:dyDescent="0.25">
      <c r="A28" t="s">
        <v>105</v>
      </c>
      <c r="B28" s="38">
        <f>(B26-B25)/B25</f>
        <v>-0.10421545667447307</v>
      </c>
      <c r="D28" t="s">
        <v>105</v>
      </c>
      <c r="E28" s="38">
        <f>(E26-E25)/E25</f>
        <v>-0.19800569800569798</v>
      </c>
    </row>
    <row r="30" spans="1:13" x14ac:dyDescent="0.25">
      <c r="A30" s="39" t="s">
        <v>108</v>
      </c>
      <c r="D30" s="39" t="s">
        <v>109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Portafolio</vt:lpstr>
      <vt:lpstr>Placement</vt:lpstr>
      <vt:lpstr>Precio</vt:lpstr>
      <vt:lpstr>Promoción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 montolio</dc:creator>
  <cp:lastModifiedBy>yoan montolio</cp:lastModifiedBy>
  <dcterms:created xsi:type="dcterms:W3CDTF">2025-06-27T17:10:07Z</dcterms:created>
  <dcterms:modified xsi:type="dcterms:W3CDTF">2025-06-27T17:15:11Z</dcterms:modified>
</cp:coreProperties>
</file>